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940" windowWidth="15480" windowHeight="5775" activeTab="0"/>
  </bookViews>
  <sheets>
    <sheet name="Мои данные" sheetId="1" r:id="rId1"/>
  </sheets>
  <definedNames>
    <definedName name="_xlnm.Print_Titles" localSheetId="0">'Мои данные'!$12:$12</definedName>
    <definedName name="_xlnm.Print_Area" localSheetId="0">'Мои данные'!$A$1:$L$65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Alex Sosedko</author>
    <author>Alex</author>
  </authors>
  <commentList>
    <comment ref="A12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2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</t>
        </r>
      </text>
    </comment>
    <comment ref="C12" authorId="1">
      <text>
        <r>
          <rPr>
            <sz val="8"/>
            <rFont val="Tahoma"/>
            <family val="2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A54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54" authorId="0">
      <text>
        <r>
          <rPr>
            <sz val="8"/>
            <rFont val="Tahoma"/>
            <family val="2"/>
          </rPr>
          <t xml:space="preserve"> =&lt;Прямые затраты (итоги)&gt;/1000</t>
        </r>
      </text>
    </comment>
    <comment ref="E12" authorId="0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F12" authorId="0">
      <text>
        <r>
          <rPr>
            <sz val="8"/>
            <rFont val="Tahoma"/>
            <family val="2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12" authorId="0">
      <text>
        <r>
          <rPr>
            <sz val="8"/>
            <rFont val="Tahoma"/>
            <family val="2"/>
          </rPr>
          <t xml:space="preserve"> &lt;К-т к позиции на прямые затраты&gt;</t>
        </r>
      </text>
    </comment>
    <comment ref="H12" authorId="0">
      <text>
        <r>
          <rPr>
            <sz val="8"/>
            <rFont val="Tahoma"/>
            <family val="2"/>
          </rPr>
          <t xml:space="preserve"> &lt;Формула расчета физ. объема&gt;</t>
        </r>
      </text>
    </comment>
    <comment ref="L12" authorId="2">
      <text>
        <r>
          <rPr>
            <b/>
            <sz val="8"/>
            <rFont val="Tahoma"/>
            <family val="2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I12" authorId="0">
      <text>
        <r>
          <rPr>
            <sz val="8"/>
            <rFont val="Tahoma"/>
            <family val="2"/>
          </rPr>
          <t xml:space="preserve"> &lt;Формула расчета стоимости единицы&gt;</t>
        </r>
      </text>
    </comment>
    <comment ref="D12" authorId="0">
      <text>
        <r>
          <rPr>
            <sz val="8"/>
            <rFont val="Tahoma"/>
            <family val="2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J12" authorId="1">
      <text>
        <r>
          <rPr>
            <b/>
            <sz val="8"/>
            <rFont val="Tahoma"/>
            <family val="2"/>
          </rPr>
          <t xml:space="preserve"> &lt;Уровень цен позиции&gt;</t>
        </r>
      </text>
    </comment>
    <comment ref="K12" authorId="1">
      <text>
        <r>
          <rPr>
            <sz val="8"/>
            <rFont val="Tahoma"/>
            <family val="2"/>
          </rPr>
          <t xml:space="preserve"> &lt;Обоснование коэффициентов&gt;</t>
        </r>
      </text>
    </comment>
  </commentList>
</comments>
</file>

<file path=xl/sharedStrings.xml><?xml version="1.0" encoding="utf-8"?>
<sst xmlns="http://schemas.openxmlformats.org/spreadsheetml/2006/main" count="116" uniqueCount="92">
  <si>
    <t>№ пп</t>
  </si>
  <si>
    <t xml:space="preserve">Составитель сметы 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</si>
  <si>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</si>
  <si>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</si>
  <si>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>Расчет стоимости: (a+bx)*Kj или
(стоимость
строительно-монтажных
работ)*проц./ 100 или количество * цена</t>
  </si>
  <si>
    <t>Стоимость работ</t>
  </si>
  <si>
    <t>тыс.руб</t>
  </si>
  <si>
    <t>Водовод при подземной (наземной) прокладке и расходе от 300 до 1000 м3/ч длиной: до 10 км</t>
  </si>
  <si>
    <t>цены 2001</t>
  </si>
  <si>
    <t>Сооружения очистки воды для хозпитьевых целей производительностью: до 1,6 тыс.м3/сут</t>
  </si>
  <si>
    <t>(Прим.4При применении в проектной и рабочей документации микропроцессорных контроллеров или других новых средств автоматизации, при производительности до 80 тыс.м3/сут ПЗ=1,07)</t>
  </si>
  <si>
    <t>Насосная станция II-го подъема, подкачки или систем оборотного водоснабжения производительностью: до 0,05 тыс.м3/ч</t>
  </si>
  <si>
    <t>(Прим.3При применении в проектной и рабочей документации регулируемого электропривода ПЗ=1,08)</t>
  </si>
  <si>
    <t>Резервуары для воды емкостью: до 1 тыс.м3</t>
  </si>
  <si>
    <t>Итоги по разделу 1 проектные работы :</t>
  </si>
  <si>
    <t xml:space="preserve">  Проектные работы: Объекты ВиК (2004,2008)</t>
  </si>
  <si>
    <t xml:space="preserve">  Итого</t>
  </si>
  <si>
    <t xml:space="preserve">  Итого по разделу 1 проектные работы</t>
  </si>
  <si>
    <t>Инженерно-геодезические изыскания трасс магистральных трубопроводов: 2 категории сложности - полевые работы</t>
  </si>
  <si>
    <t>1,75*1,005</t>
  </si>
  <si>
    <t>(ОУ п.15еПри выполнении картографических работ на магнитном и бумажном носителях ПЗ=1,75;
СБЦ-2004-80-7.Регистрация инженерно-геодезических изысканий ПЗ=1,005)</t>
  </si>
  <si>
    <t>Инженерно-геодезические изыскания трасс магистральных трубопроводов: 2 категории сложности - камеральные работы</t>
  </si>
  <si>
    <t>1,2*1,06*1,15</t>
  </si>
  <si>
    <t>(ОУ п.15дПри выполнении камеральных и картографических работ с применением компьютерных технологий ПЗ=1,2;
УБЦ2 п.13 ОУ.Расходы на организацию и ликвидацию инженерно-геодезических работ ПЗ=1,06;
УБЦ2 п.14 ОУ.При выполнении камеральной обработки материалов изысканий в экспедициооных условиях с выплатой работникам полевого довольствия ПЗ=1,15)</t>
  </si>
  <si>
    <t>Итоги по разделу 2 инженерно-геодезические изыскания :</t>
  </si>
  <si>
    <t xml:space="preserve">  Инженерно-геодезические изыскания (2004)</t>
  </si>
  <si>
    <t xml:space="preserve">  Итого по разделу 2 инженерно-геодезические изыскания</t>
  </si>
  <si>
    <t>Наблюдения при передвижении по маршруту при составлении инженерно-геологической,гидрогеологической, почвенной, инженерно-экологической карты в масштабе 1:50000: проходимость хорошая, полевые работы</t>
  </si>
  <si>
    <t>Наблюдения при передвижении по маршруту при составлении инженерно-геологической,гидрогеологической, почвенной, инженерно-экологической карты в масштабе 1:50000: проходимость хорошая, камеральные работы</t>
  </si>
  <si>
    <t>Колонковое бурение скважины диаметром до 160мм, глубиной до 15м: категория породы 1</t>
  </si>
  <si>
    <t>Откачка воды из одиночной скважины, смен: 3</t>
  </si>
  <si>
    <t>Стационарные наблюдения в скважинах, шурфах, колодцах и на источниках за режимом подземных вод с частотой: ежедневные, условия проходимости хорошие</t>
  </si>
  <si>
    <t>Динамическое зондирование грунтов с количеством ударов молота на 10см погружения зонда до 6: глубина зондирования св. 10 до 15м</t>
  </si>
  <si>
    <t>Статическое зондирование грунтов непрерывным вдавливанием зонда со скоростью не более 1м/мин.: глубина зондирования св. 10 до 15м</t>
  </si>
  <si>
    <t>Отбор валовых проб из массива в подземных выработках</t>
  </si>
  <si>
    <t>Отбор точечных проб для анализа на загрязненность по химическим показателям: воды с глубины более 0.5м</t>
  </si>
  <si>
    <t>Полный комплекс физико-механических свойств глинистого грунта нарушенной структуры с заданной влажностью и плотностью сухого грунта, с определением сопротивления грунта срезу (консолидированный срез) и компрессионными испытаниями с нагрузкой до 0,6МПа</t>
  </si>
  <si>
    <t>Сокращенный анализ водной вытяжки (для почв)</t>
  </si>
  <si>
    <t>Краткий анализ грунтов (для стройматериалов)</t>
  </si>
  <si>
    <t>Полный анализ воды</t>
  </si>
  <si>
    <t>Анализ воды подземных источников хозяйственно-питьевого водоснабжения</t>
  </si>
  <si>
    <t>Итоги по разделу 3 инженерно-геологические и инженерно-экологические изыскания :</t>
  </si>
  <si>
    <t xml:space="preserve">  Инженерно-геологические и инженерно-экологические изыскания (1999)</t>
  </si>
  <si>
    <t xml:space="preserve">  Итого по разделу 3 инженерно-геологические и инженерно-экологические изыскания</t>
  </si>
  <si>
    <t>Итоги по смете:</t>
  </si>
  <si>
    <t xml:space="preserve">  НДС 18%</t>
  </si>
  <si>
    <t xml:space="preserve">  ВСЕГО по смете</t>
  </si>
  <si>
    <t xml:space="preserve">                            проектные работы</t>
  </si>
  <si>
    <t>61260*1+32800*0,3</t>
  </si>
  <si>
    <t>(253830*1+128700*0,12)*1,07</t>
  </si>
  <si>
    <t>(149890*1+529540*0,01)*1,08</t>
  </si>
  <si>
    <t>20720*1+75360*0,15</t>
  </si>
  <si>
    <t xml:space="preserve">  Всего с учетом перевод в текущие цены на 3 квартал 2015 г.Письмо Минстроя №25760-ЮР/08 от 13.08.2015 г. 3,84</t>
  </si>
  <si>
    <t xml:space="preserve">                            инженерно-геодезические изыскания</t>
  </si>
  <si>
    <t xml:space="preserve">  Всего с учетом  3,9</t>
  </si>
  <si>
    <t xml:space="preserve">                            инженерно-геологические и инженерно-экологические изыскания</t>
  </si>
  <si>
    <t xml:space="preserve">  Всего с учетом общестроительный 44,19</t>
  </si>
  <si>
    <r>
      <t xml:space="preserve">СБЦ11-3-01
</t>
    </r>
    <r>
      <rPr>
        <i/>
        <sz val="11"/>
        <rFont val="Arial"/>
        <family val="2"/>
      </rPr>
      <t xml:space="preserve"> Объекты водоснабжения и канализации (2008г.)</t>
    </r>
  </si>
  <si>
    <r>
      <t xml:space="preserve">СБЦ11-4-13
</t>
    </r>
    <r>
      <rPr>
        <i/>
        <sz val="11"/>
        <rFont val="Arial"/>
        <family val="2"/>
      </rPr>
      <t xml:space="preserve"> Объекты водоснабжения и канализации (2008г.)</t>
    </r>
  </si>
  <si>
    <r>
      <t xml:space="preserve">СБЦ11-5-01
</t>
    </r>
    <r>
      <rPr>
        <i/>
        <sz val="11"/>
        <rFont val="Arial"/>
        <family val="2"/>
      </rPr>
      <t xml:space="preserve"> Объекты водоснабжения и канализации (2008г.)</t>
    </r>
  </si>
  <si>
    <r>
      <t xml:space="preserve">СБЦ11-5-10
</t>
    </r>
    <r>
      <rPr>
        <i/>
        <sz val="11"/>
        <rFont val="Arial"/>
        <family val="2"/>
      </rPr>
      <t xml:space="preserve"> Объекты водоснабжения и канализации (2008г.)</t>
    </r>
  </si>
  <si>
    <r>
      <t xml:space="preserve">УБЦ2-13-1-2-1
</t>
    </r>
    <r>
      <rPr>
        <i/>
        <sz val="11"/>
        <rFont val="Arial"/>
        <family val="2"/>
      </rPr>
      <t>"Инж.-геодез. изыск.(2004 г.)"
(ОУ п.15еПри выполнении картографических работ на магнитном и бумажном носителях ПЗ=1,75;
СБЦ-2004-80-7.Регистрация инженерно-геодезических изысканий ПЗ=1,005)</t>
    </r>
  </si>
  <si>
    <r>
      <t xml:space="preserve">УБЦ2-13-1-2-2
</t>
    </r>
    <r>
      <rPr>
        <i/>
        <sz val="11"/>
        <rFont val="Arial"/>
        <family val="2"/>
      </rPr>
      <t>"Инж.-геодез. изыск.(2004 г.)"
(ОУ п.15дПри выполнении камеральных и картографических работ с применением компьютерных технологий ПЗ=1,2;
УБЦ2 п.13 ОУ.Расходы на организацию и ликвидацию инженерно-геодезических работ ПЗ=1,06;
УБЦ2 п.14 ОУ.При выполнении камеральной обработки материалов изысканий в экспедициооных условиях с выплатой работникам полевого довольствия ПЗ=1,15)</t>
    </r>
  </si>
  <si>
    <r>
      <t xml:space="preserve">СБЦИ3-10-1-1-1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</si>
  <si>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СБЦИ3-10-1-1-2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</si>
  <si>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СБЦИ3-17-1-1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</si>
  <si>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СБЦИ3-34-8-1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</si>
  <si>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СБЦИ3-39-1-1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</si>
  <si>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СБЦИ3-45-1-2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</si>
  <si>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СБЦИ3-45-5-2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</si>
  <si>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СБЦИ3-59-2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</si>
  <si>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СБЦИ3-60-2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</si>
  <si>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СБЦИ3-63-28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</si>
  <si>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СБЦИ3-71-3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</si>
  <si>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СБЦИ3-71-12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</si>
  <si>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СБЦИ3-73-1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</si>
  <si>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СБЦИ3-73-4
</t>
    </r>
    <r>
      <rPr>
        <i/>
        <sz val="11"/>
        <rFont val="Arial"/>
        <family val="2"/>
      </rPr>
      <t>"Инж.-геологические и инж.-экологич. изыскания (1999 г.)"</t>
    </r>
  </si>
  <si>
    <t xml:space="preserve">  Итого перевод в текущие цены на 3 квартал 2015 г.Письмо Минстроя №25760-ЮР/08 от 13.08.2015 г. 3,84</t>
  </si>
  <si>
    <t xml:space="preserve">  Итого </t>
  </si>
  <si>
    <t xml:space="preserve">  Итого общестроительный 44,19</t>
  </si>
  <si>
    <t>Итого затраты по разделу</t>
  </si>
  <si>
    <t>Итого затраты по смете</t>
  </si>
  <si>
    <t>Пастухова А.М.</t>
  </si>
  <si>
    <t>Приложение № 1 к закупочной документации</t>
  </si>
  <si>
    <t>«УТВЕРЖДАЮ»</t>
  </si>
  <si>
    <t>Руководитель управления кап. ремонта и строительства</t>
  </si>
  <si>
    <t xml:space="preserve"> ГП  «Калугаоблводоканал»</t>
  </si>
  <si>
    <t>________________Сергеев М.А.</t>
  </si>
  <si>
    <t>на  проектно-изыскательские  работы</t>
  </si>
  <si>
    <t>Наименование объекта</t>
  </si>
  <si>
    <t>«Строительство станции очистки питьевой воды от стронция в с. Красное Хвастовичского района Калужской области»</t>
  </si>
  <si>
    <t>СМЕТНЫЙ РАСЧЕТ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</si>
</sst>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 Cyr"/>
      <family val="0"/>
    </font>
    <font>
      <b/>
      <sz val="13"/>
      <name val="Arial"/>
      <family val="2"/>
    </font>
    <font>
      <b/>
      <sz val="13"/>
      <name val="Arial Cyr"/>
      <family val="0"/>
    </font>
    <font>
      <i/>
      <sz val="11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1">
      <alignment horizontal="center"/>
      <protection/>
    </xf>
    <xf numFmtId="0" fontId="0" fillId="0" borderId="0">
      <alignment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5" fillId="0" borderId="1">
      <alignment horizontal="center"/>
      <protection/>
    </xf>
    <xf numFmtId="0" fontId="5" fillId="0" borderId="0">
      <alignment vertical="top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5" fillId="0" borderId="0">
      <alignment horizontal="right" vertical="top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8" borderId="8" applyNumberFormat="0" applyAlignment="0" applyProtection="0"/>
    <xf numFmtId="0" fontId="5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" fillId="0" borderId="1">
      <alignment horizontal="center"/>
      <protection/>
    </xf>
    <xf numFmtId="0" fontId="5" fillId="0" borderId="1">
      <alignment horizontal="center" wrapText="1"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top"/>
      <protection/>
    </xf>
    <xf numFmtId="0" fontId="50" fillId="32" borderId="0" applyNumberFormat="0" applyBorder="0" applyAlignment="0" applyProtection="0"/>
    <xf numFmtId="0" fontId="5" fillId="0" borderId="0">
      <alignment/>
      <protection/>
    </xf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78" applyFont="1" applyBorder="1">
      <alignment horizontal="center"/>
      <protection/>
    </xf>
    <xf numFmtId="0" fontId="7" fillId="0" borderId="0" xfId="78" applyFont="1" applyBorder="1" applyAlignment="1">
      <alignment horizontal="right"/>
      <protection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81" applyFont="1">
      <alignment horizontal="left" vertical="top"/>
      <protection/>
    </xf>
    <xf numFmtId="0" fontId="7" fillId="0" borderId="11" xfId="61" applyFont="1" applyBorder="1">
      <alignment horizontal="center" wrapText="1"/>
      <protection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10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right" vertical="top" wrapText="1"/>
    </xf>
    <xf numFmtId="164" fontId="7" fillId="0" borderId="1" xfId="53" applyNumberFormat="1" applyFont="1" applyBorder="1" applyAlignment="1">
      <alignment horizontal="right" vertical="top" wrapText="1"/>
      <protection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9" fillId="0" borderId="0" xfId="78" applyFont="1" applyBorder="1" applyAlignment="1">
      <alignment horizontal="left" vertical="top" wrapText="1"/>
      <protection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1" xfId="53" applyFont="1" applyBorder="1" applyAlignment="1">
      <alignment horizontal="left" vertical="top" wrapText="1"/>
      <protection/>
    </xf>
    <xf numFmtId="0" fontId="8" fillId="0" borderId="1" xfId="53" applyFont="1" applyBorder="1" applyAlignment="1">
      <alignment horizontal="left" vertical="top" wrapText="1"/>
      <protection/>
    </xf>
    <xf numFmtId="0" fontId="51" fillId="0" borderId="0" xfId="0" applyFont="1" applyAlignment="1">
      <alignment horizontal="right"/>
    </xf>
    <xf numFmtId="0" fontId="53" fillId="0" borderId="0" xfId="0" applyFont="1" applyAlignment="1">
      <alignment horizontal="right" vertical="top" wrapText="1"/>
    </xf>
    <xf numFmtId="0" fontId="54" fillId="0" borderId="0" xfId="0" applyFont="1" applyAlignment="1">
      <alignment horizontal="right" wrapText="1"/>
    </xf>
    <xf numFmtId="0" fontId="53" fillId="0" borderId="0" xfId="0" applyFont="1" applyAlignment="1">
      <alignment horizontal="left" vertical="top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БазЦ" xfId="57"/>
    <cellStyle name="ИтогоБИМ" xfId="58"/>
    <cellStyle name="ИтогоРесМет" xfId="59"/>
    <cellStyle name="Контрольная ячейка" xfId="60"/>
    <cellStyle name="ЛокСмета" xfId="61"/>
    <cellStyle name="ЛокСмМТСН" xfId="62"/>
    <cellStyle name="М29" xfId="63"/>
    <cellStyle name="Название" xfId="64"/>
    <cellStyle name="Нейтральный" xfId="65"/>
    <cellStyle name="ОбСмета" xfId="66"/>
    <cellStyle name="Параметр" xfId="67"/>
    <cellStyle name="ПеременныеСметы" xfId="68"/>
    <cellStyle name="Плохой" xfId="69"/>
    <cellStyle name="Пояснение" xfId="70"/>
    <cellStyle name="Примечание" xfId="71"/>
    <cellStyle name="Percent" xfId="72"/>
    <cellStyle name="РесСмета" xfId="73"/>
    <cellStyle name="СводкаСтоимРаб" xfId="74"/>
    <cellStyle name="СводРасч" xfId="75"/>
    <cellStyle name="Связанная ячейка" xfId="76"/>
    <cellStyle name="Текст предупреждения" xfId="77"/>
    <cellStyle name="Титул" xfId="78"/>
    <cellStyle name="Comma" xfId="79"/>
    <cellStyle name="Comma [0]" xfId="80"/>
    <cellStyle name="Хвост" xfId="81"/>
    <cellStyle name="Хороший" xfId="82"/>
    <cellStyle name="Экспертиза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showGridLines="0" tabSelected="1" zoomScalePageLayoutView="0" workbookViewId="0" topLeftCell="A1">
      <selection activeCell="O8" sqref="O8"/>
    </sheetView>
  </sheetViews>
  <sheetFormatPr defaultColWidth="9.00390625" defaultRowHeight="12.75"/>
  <cols>
    <col min="1" max="1" width="9.125" style="1" customWidth="1"/>
    <col min="2" max="2" width="50.375" style="1" customWidth="1"/>
    <col min="3" max="3" width="41.375" style="1" customWidth="1"/>
    <col min="4" max="4" width="21.75390625" style="1" customWidth="1"/>
    <col min="5" max="10" width="22.125" style="1" hidden="1" customWidth="1"/>
    <col min="11" max="11" width="73.75390625" style="1" hidden="1" customWidth="1"/>
    <col min="12" max="12" width="16.00390625" style="1" customWidth="1"/>
    <col min="13" max="15" width="9.125" style="1" customWidth="1"/>
    <col min="16" max="16384" width="9.125" style="1" customWidth="1"/>
  </cols>
  <sheetData>
    <row r="1" spans="1:12" ht="15">
      <c r="A1" s="23"/>
      <c r="B1" s="24"/>
      <c r="C1" s="42" t="s">
        <v>83</v>
      </c>
      <c r="D1" s="42"/>
      <c r="E1" s="42"/>
      <c r="F1" s="42"/>
      <c r="G1" s="42"/>
      <c r="H1" s="42"/>
      <c r="I1" s="42"/>
      <c r="J1" s="42"/>
      <c r="K1" s="42"/>
      <c r="L1" s="42"/>
    </row>
    <row r="2" spans="1:12" ht="15.75">
      <c r="A2" s="23"/>
      <c r="B2" s="24"/>
      <c r="C2" s="43" t="s">
        <v>84</v>
      </c>
      <c r="D2" s="43"/>
      <c r="E2" s="43"/>
      <c r="F2" s="43"/>
      <c r="G2" s="43"/>
      <c r="H2" s="43"/>
      <c r="I2" s="43"/>
      <c r="J2" s="43"/>
      <c r="K2" s="43"/>
      <c r="L2" s="43"/>
    </row>
    <row r="3" spans="1:12" ht="15.75" customHeight="1">
      <c r="A3" s="23"/>
      <c r="B3" s="24"/>
      <c r="C3" s="43" t="s">
        <v>85</v>
      </c>
      <c r="D3" s="43"/>
      <c r="E3" s="43"/>
      <c r="F3" s="43"/>
      <c r="G3" s="43"/>
      <c r="H3" s="43"/>
      <c r="I3" s="43"/>
      <c r="J3" s="43"/>
      <c r="K3" s="43"/>
      <c r="L3" s="43"/>
    </row>
    <row r="4" spans="1:12" ht="16.5" customHeight="1">
      <c r="A4" s="23"/>
      <c r="B4" s="24"/>
      <c r="C4" s="43" t="s">
        <v>86</v>
      </c>
      <c r="D4" s="43"/>
      <c r="E4" s="43"/>
      <c r="F4" s="43"/>
      <c r="G4" s="43"/>
      <c r="H4" s="43"/>
      <c r="I4" s="43"/>
      <c r="J4" s="43"/>
      <c r="K4" s="43"/>
      <c r="L4" s="43"/>
    </row>
    <row r="5" spans="1:12" ht="28.5" customHeight="1">
      <c r="A5" s="23"/>
      <c r="B5" s="24"/>
      <c r="C5" s="44" t="s">
        <v>87</v>
      </c>
      <c r="D5" s="44"/>
      <c r="E5" s="44"/>
      <c r="F5" s="44"/>
      <c r="G5" s="44"/>
      <c r="H5" s="44"/>
      <c r="I5" s="44"/>
      <c r="J5" s="44"/>
      <c r="K5" s="44"/>
      <c r="L5" s="44"/>
    </row>
    <row r="6" spans="1:12" ht="15.75">
      <c r="A6" s="30" t="s">
        <v>91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5.75">
      <c r="A7" s="30" t="s">
        <v>88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8" ht="15.75">
      <c r="A8" s="25"/>
      <c r="B8" s="26"/>
      <c r="C8" s="26"/>
      <c r="D8" s="26"/>
      <c r="E8" s="26"/>
      <c r="F8" s="27"/>
      <c r="G8" s="27"/>
      <c r="H8" s="27"/>
    </row>
    <row r="9" spans="1:12" s="28" customFormat="1" ht="33" customHeight="1">
      <c r="A9" s="45" t="s">
        <v>89</v>
      </c>
      <c r="B9" s="45"/>
      <c r="C9" s="31" t="s">
        <v>90</v>
      </c>
      <c r="D9" s="31"/>
      <c r="E9" s="31"/>
      <c r="F9" s="31"/>
      <c r="G9" s="31"/>
      <c r="H9" s="31"/>
      <c r="I9" s="31"/>
      <c r="J9" s="31"/>
      <c r="K9" s="31"/>
      <c r="L9" s="31"/>
    </row>
    <row r="10" spans="1:12" ht="1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  <c r="L10" s="4" t="s">
        <v>6</v>
      </c>
    </row>
    <row r="11" spans="1:12" s="6" customFormat="1" ht="121.5" customHeight="1">
      <c r="A11" s="5" t="s">
        <v>0</v>
      </c>
      <c r="B11" s="5" t="s">
        <v>2</v>
      </c>
      <c r="C11" s="5" t="s">
        <v>3</v>
      </c>
      <c r="D11" s="5" t="s">
        <v>4</v>
      </c>
      <c r="E11" s="5"/>
      <c r="F11" s="5"/>
      <c r="G11" s="5"/>
      <c r="H11" s="5"/>
      <c r="I11" s="5"/>
      <c r="J11" s="5"/>
      <c r="K11" s="5"/>
      <c r="L11" s="5" t="s">
        <v>5</v>
      </c>
    </row>
    <row r="12" spans="1:12" ht="15">
      <c r="A12" s="11">
        <v>1</v>
      </c>
      <c r="B12" s="11">
        <v>2</v>
      </c>
      <c r="C12" s="11">
        <v>3</v>
      </c>
      <c r="D12" s="11">
        <v>4</v>
      </c>
      <c r="E12" s="11"/>
      <c r="F12" s="11"/>
      <c r="G12" s="11"/>
      <c r="H12" s="11"/>
      <c r="I12" s="11"/>
      <c r="J12" s="11"/>
      <c r="K12" s="11"/>
      <c r="L12" s="11">
        <v>5</v>
      </c>
    </row>
    <row r="13" spans="1:12" s="7" customFormat="1" ht="22.5" customHeight="1">
      <c r="A13" s="32" t="s">
        <v>47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7" s="9" customFormat="1" ht="45">
      <c r="A14" s="12">
        <v>1</v>
      </c>
      <c r="B14" s="13" t="s">
        <v>7</v>
      </c>
      <c r="C14" s="13" t="s">
        <v>57</v>
      </c>
      <c r="D14" s="14" t="s">
        <v>48</v>
      </c>
      <c r="E14" s="15">
        <v>1</v>
      </c>
      <c r="F14" s="15" t="str">
        <f ca="1">IF(INDIRECT("J"&amp;ROW())="текущие цены",IF(INDIRECT("G"&amp;ROW())="","0","0"),IF(INDIRECT("G"&amp;ROW())="","61260","61260"))</f>
        <v>61260</v>
      </c>
      <c r="G14" s="15"/>
      <c r="H14" s="15"/>
      <c r="I14" s="15"/>
      <c r="J14" s="15" t="s">
        <v>8</v>
      </c>
      <c r="K14" s="15"/>
      <c r="L14" s="16">
        <v>71.1</v>
      </c>
      <c r="M14" s="7"/>
      <c r="N14" s="7"/>
      <c r="O14" s="7"/>
      <c r="P14" s="7"/>
      <c r="Q14" s="7"/>
    </row>
    <row r="15" spans="1:17" ht="45">
      <c r="A15" s="12">
        <v>2</v>
      </c>
      <c r="B15" s="13" t="s">
        <v>9</v>
      </c>
      <c r="C15" s="13" t="s">
        <v>58</v>
      </c>
      <c r="D15" s="14" t="s">
        <v>49</v>
      </c>
      <c r="E15" s="15">
        <v>1</v>
      </c>
      <c r="F15" s="15" t="str">
        <f ca="1">IF(INDIRECT("J"&amp;ROW())="текущие цены",IF(INDIRECT("G"&amp;ROW())="","0","0"),IF(INDIRECT("G"&amp;ROW())="","271598.1","253830"))</f>
        <v>253830</v>
      </c>
      <c r="G15" s="15">
        <v>1.07</v>
      </c>
      <c r="H15" s="15"/>
      <c r="I15" s="15"/>
      <c r="J15" s="15" t="s">
        <v>8</v>
      </c>
      <c r="K15" s="15" t="s">
        <v>10</v>
      </c>
      <c r="L15" s="16">
        <v>288.123</v>
      </c>
      <c r="M15" s="7"/>
      <c r="N15" s="7"/>
      <c r="O15" s="7"/>
      <c r="P15" s="7"/>
      <c r="Q15" s="7"/>
    </row>
    <row r="16" spans="1:17" ht="45">
      <c r="A16" s="12">
        <v>3</v>
      </c>
      <c r="B16" s="13" t="s">
        <v>11</v>
      </c>
      <c r="C16" s="13" t="s">
        <v>59</v>
      </c>
      <c r="D16" s="14" t="s">
        <v>50</v>
      </c>
      <c r="E16" s="15">
        <v>1</v>
      </c>
      <c r="F16" s="15" t="str">
        <f ca="1">IF(INDIRECT("J"&amp;ROW())="текущие цены",IF(INDIRECT("G"&amp;ROW())="","0","0"),IF(INDIRECT("G"&amp;ROW())="","161881.2","149890"))</f>
        <v>149890</v>
      </c>
      <c r="G16" s="15">
        <v>1.08</v>
      </c>
      <c r="H16" s="15"/>
      <c r="I16" s="15"/>
      <c r="J16" s="15" t="s">
        <v>8</v>
      </c>
      <c r="K16" s="15" t="s">
        <v>12</v>
      </c>
      <c r="L16" s="16">
        <v>167.6</v>
      </c>
      <c r="M16" s="7"/>
      <c r="N16" s="7"/>
      <c r="O16" s="7"/>
      <c r="P16" s="7"/>
      <c r="Q16" s="7"/>
    </row>
    <row r="17" spans="1:17" ht="45">
      <c r="A17" s="12">
        <v>4</v>
      </c>
      <c r="B17" s="13" t="s">
        <v>13</v>
      </c>
      <c r="C17" s="13" t="s">
        <v>60</v>
      </c>
      <c r="D17" s="14" t="s">
        <v>51</v>
      </c>
      <c r="E17" s="15">
        <v>1</v>
      </c>
      <c r="F17" s="15" t="str">
        <f ca="1">IF(INDIRECT("J"&amp;ROW())="текущие цены",IF(INDIRECT("G"&amp;ROW())="","0","0"),IF(INDIRECT("G"&amp;ROW())="","20720","20720"))</f>
        <v>20720</v>
      </c>
      <c r="G17" s="15"/>
      <c r="H17" s="15"/>
      <c r="I17" s="15"/>
      <c r="J17" s="15" t="s">
        <v>8</v>
      </c>
      <c r="K17" s="15"/>
      <c r="L17" s="16">
        <v>32.024</v>
      </c>
      <c r="M17" s="7"/>
      <c r="N17" s="7"/>
      <c r="O17" s="7"/>
      <c r="P17" s="7"/>
      <c r="Q17" s="7"/>
    </row>
    <row r="18" spans="1:17" ht="15">
      <c r="A18" s="34" t="s">
        <v>80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16">
        <f>558847/1000</f>
        <v>558.847</v>
      </c>
      <c r="M18" s="7"/>
      <c r="N18" s="7"/>
      <c r="O18" s="7"/>
      <c r="P18" s="7"/>
      <c r="Q18" s="7"/>
    </row>
    <row r="19" spans="1:17" ht="15.75">
      <c r="A19" s="38" t="s">
        <v>14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16"/>
      <c r="M19" s="7"/>
      <c r="N19" s="7"/>
      <c r="O19" s="7"/>
      <c r="P19" s="7"/>
      <c r="Q19" s="7"/>
    </row>
    <row r="20" spans="1:17" ht="15">
      <c r="A20" s="34" t="s">
        <v>15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16">
        <f>558847/1000</f>
        <v>558.847</v>
      </c>
      <c r="M20" s="7"/>
      <c r="N20" s="7"/>
      <c r="O20" s="7"/>
      <c r="P20" s="7"/>
      <c r="Q20" s="7"/>
    </row>
    <row r="21" spans="1:17" ht="15">
      <c r="A21" s="34" t="s">
        <v>16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16">
        <f>558847/1000</f>
        <v>558.847</v>
      </c>
      <c r="M21" s="7"/>
      <c r="N21" s="7"/>
      <c r="O21" s="7"/>
      <c r="P21" s="7"/>
      <c r="Q21" s="7"/>
    </row>
    <row r="22" spans="1:17" ht="15">
      <c r="A22" s="34" t="s">
        <v>52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16">
        <f>2145972/1000</f>
        <v>2145.972</v>
      </c>
      <c r="M22" s="7"/>
      <c r="N22" s="7"/>
      <c r="O22" s="7"/>
      <c r="P22" s="7"/>
      <c r="Q22" s="7"/>
    </row>
    <row r="23" spans="1:17" ht="15" customHeight="1">
      <c r="A23" s="36" t="s">
        <v>17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21">
        <f>2145972/1000</f>
        <v>2145.972</v>
      </c>
      <c r="M23" s="7"/>
      <c r="N23" s="7"/>
      <c r="O23" s="7"/>
      <c r="P23" s="7"/>
      <c r="Q23" s="7"/>
    </row>
    <row r="24" spans="1:17" ht="16.5">
      <c r="A24" s="32" t="s">
        <v>53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7"/>
      <c r="N24" s="7"/>
      <c r="O24" s="7"/>
      <c r="P24" s="7"/>
      <c r="Q24" s="7"/>
    </row>
    <row r="25" spans="1:17" ht="120">
      <c r="A25" s="12">
        <v>5</v>
      </c>
      <c r="B25" s="13" t="s">
        <v>18</v>
      </c>
      <c r="C25" s="13" t="s">
        <v>61</v>
      </c>
      <c r="D25" s="14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0,3 * 12076 * 1,75*1,005</v>
      </c>
      <c r="E25" s="15">
        <v>0.3</v>
      </c>
      <c r="F25" s="15" t="str">
        <f ca="1">IF(INDIRECT("J"&amp;ROW())="текущие цены",IF(INDIRECT("G"&amp;ROW())="","0","0"),IF(INDIRECT("G"&amp;ROW())="","21238.67","12076"))</f>
        <v>12076</v>
      </c>
      <c r="G25" s="15" t="s">
        <v>19</v>
      </c>
      <c r="H25" s="15"/>
      <c r="I25" s="15"/>
      <c r="J25" s="15" t="s">
        <v>8</v>
      </c>
      <c r="K25" s="15" t="s">
        <v>20</v>
      </c>
      <c r="L25" s="16">
        <f ca="1">IF(INDIRECT("J"&amp;ROW())="текущие цены",0/1000,6372/1000)</f>
        <v>6.372</v>
      </c>
      <c r="M25" s="7"/>
      <c r="N25" s="7"/>
      <c r="O25" s="7"/>
      <c r="P25" s="7"/>
      <c r="Q25" s="7"/>
    </row>
    <row r="26" spans="1:17" ht="31.5" customHeight="1">
      <c r="A26" s="17">
        <v>6</v>
      </c>
      <c r="B26" s="18" t="s">
        <v>21</v>
      </c>
      <c r="C26" s="18" t="s">
        <v>62</v>
      </c>
      <c r="D26" s="19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0,3 * 5327 * 1,2*1,06*1,15</v>
      </c>
      <c r="E26" s="20">
        <v>0.3</v>
      </c>
      <c r="F26" s="20" t="str">
        <f ca="1">IF(INDIRECT("J"&amp;ROW())="текущие цены",IF(INDIRECT("G"&amp;ROW())="","0","0"),IF(INDIRECT("G"&amp;ROW())="","7792.34","5327"))</f>
        <v>5327</v>
      </c>
      <c r="G26" s="20" t="s">
        <v>22</v>
      </c>
      <c r="H26" s="20"/>
      <c r="I26" s="20"/>
      <c r="J26" s="20" t="s">
        <v>8</v>
      </c>
      <c r="K26" s="20" t="s">
        <v>23</v>
      </c>
      <c r="L26" s="21">
        <f ca="1">IF(INDIRECT("J"&amp;ROW())="текущие цены",0/1000,2338/1000)</f>
        <v>2.338</v>
      </c>
      <c r="M26" s="7"/>
      <c r="N26" s="7"/>
      <c r="O26" s="7"/>
      <c r="P26" s="7"/>
      <c r="Q26" s="7"/>
    </row>
    <row r="27" spans="1:17" ht="15">
      <c r="A27" s="34" t="s">
        <v>80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16">
        <f>8710/1000</f>
        <v>8.71</v>
      </c>
      <c r="M27" s="7"/>
      <c r="N27" s="7"/>
      <c r="O27" s="7"/>
      <c r="P27" s="7"/>
      <c r="Q27" s="7"/>
    </row>
    <row r="28" spans="1:17" ht="15.75">
      <c r="A28" s="38" t="s">
        <v>24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16"/>
      <c r="M28" s="7"/>
      <c r="N28" s="7"/>
      <c r="O28" s="7"/>
      <c r="P28" s="7"/>
      <c r="Q28" s="7"/>
    </row>
    <row r="29" spans="1:17" ht="22.5" customHeight="1">
      <c r="A29" s="34" t="s">
        <v>25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16">
        <f>8710/1000</f>
        <v>8.71</v>
      </c>
      <c r="M29" s="7"/>
      <c r="N29" s="7"/>
      <c r="O29" s="7"/>
      <c r="P29" s="7"/>
      <c r="Q29" s="7"/>
    </row>
    <row r="30" spans="1:17" ht="15">
      <c r="A30" s="34" t="s">
        <v>16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16">
        <f>8710/1000</f>
        <v>8.71</v>
      </c>
      <c r="M30" s="7"/>
      <c r="N30" s="7"/>
      <c r="O30" s="7"/>
      <c r="P30" s="7"/>
      <c r="Q30" s="7"/>
    </row>
    <row r="31" spans="1:17" ht="15">
      <c r="A31" s="34" t="s">
        <v>54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16">
        <f>33969/1000</f>
        <v>33.969</v>
      </c>
      <c r="M31" s="7"/>
      <c r="N31" s="7"/>
      <c r="O31" s="7"/>
      <c r="P31" s="7"/>
      <c r="Q31" s="7"/>
    </row>
    <row r="32" spans="1:17" ht="15" customHeight="1">
      <c r="A32" s="36" t="s">
        <v>26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21">
        <f>33969/1000</f>
        <v>33.969</v>
      </c>
      <c r="M32" s="7"/>
      <c r="N32" s="7"/>
      <c r="O32" s="7"/>
      <c r="P32" s="7"/>
      <c r="Q32" s="7"/>
    </row>
    <row r="33" spans="1:17" ht="16.5">
      <c r="A33" s="32" t="s">
        <v>55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7"/>
      <c r="N33" s="7"/>
      <c r="O33" s="7"/>
      <c r="P33" s="7"/>
      <c r="Q33" s="7"/>
    </row>
    <row r="34" spans="1:17" ht="75">
      <c r="A34" s="12">
        <v>7</v>
      </c>
      <c r="B34" s="13" t="s">
        <v>27</v>
      </c>
      <c r="C34" s="13" t="s">
        <v>63</v>
      </c>
      <c r="D34" s="14" t="str">
        <f aca="true" ca="1" t="shared" si="0" ref="D34:D47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0,3 * 12.5 </v>
      </c>
      <c r="E34" s="15">
        <v>0.3</v>
      </c>
      <c r="F34" s="15" t="str">
        <f ca="1">IF(INDIRECT("J"&amp;ROW())="текущие цены",IF(INDIRECT("G"&amp;ROW())="","0","0"),IF(INDIRECT("G"&amp;ROW())="","12.5","12.5"))</f>
        <v>12.5</v>
      </c>
      <c r="G34" s="15"/>
      <c r="H34" s="15"/>
      <c r="I34" s="15"/>
      <c r="J34" s="15" t="s">
        <v>8</v>
      </c>
      <c r="K34" s="15"/>
      <c r="L34" s="16">
        <f ca="1">IF(INDIRECT("J"&amp;ROW())="текущие цены",0/1000,4/1000)</f>
        <v>0.004</v>
      </c>
      <c r="M34" s="7"/>
      <c r="N34" s="7"/>
      <c r="O34" s="7"/>
      <c r="P34" s="7"/>
      <c r="Q34" s="7"/>
    </row>
    <row r="35" spans="1:17" ht="75">
      <c r="A35" s="12">
        <v>8</v>
      </c>
      <c r="B35" s="13" t="s">
        <v>28</v>
      </c>
      <c r="C35" s="13" t="s">
        <v>64</v>
      </c>
      <c r="D35" s="14" t="str">
        <f ca="1" t="shared" si="0"/>
        <v>0,3 * 1.3 </v>
      </c>
      <c r="E35" s="15">
        <v>0.3</v>
      </c>
      <c r="F35" s="15" t="str">
        <f ca="1">IF(INDIRECT("J"&amp;ROW())="текущие цены",IF(INDIRECT("G"&amp;ROW())="","0","0"),IF(INDIRECT("G"&amp;ROW())="","1.3","1.3"))</f>
        <v>1.3</v>
      </c>
      <c r="G35" s="15"/>
      <c r="H35" s="15"/>
      <c r="I35" s="15"/>
      <c r="J35" s="15" t="s">
        <v>8</v>
      </c>
      <c r="K35" s="15"/>
      <c r="L35" s="16">
        <f ca="1">IF(INDIRECT("J"&amp;ROW())="текущие цены",0/1000,0/1000)</f>
        <v>0</v>
      </c>
      <c r="M35" s="7"/>
      <c r="N35" s="7"/>
      <c r="O35" s="7"/>
      <c r="P35" s="7"/>
      <c r="Q35" s="7"/>
    </row>
    <row r="36" spans="1:17" ht="45">
      <c r="A36" s="12">
        <v>9</v>
      </c>
      <c r="B36" s="13" t="s">
        <v>29</v>
      </c>
      <c r="C36" s="13" t="s">
        <v>65</v>
      </c>
      <c r="D36" s="14" t="str">
        <f ca="1" t="shared" si="0"/>
        <v>12 * 36 </v>
      </c>
      <c r="E36" s="15">
        <v>12</v>
      </c>
      <c r="F36" s="15" t="str">
        <f ca="1">IF(INDIRECT("J"&amp;ROW())="текущие цены",IF(INDIRECT("G"&amp;ROW())="","0","0"),IF(INDIRECT("G"&amp;ROW())="","36","36"))</f>
        <v>36</v>
      </c>
      <c r="G36" s="15"/>
      <c r="H36" s="15"/>
      <c r="I36" s="15"/>
      <c r="J36" s="15" t="s">
        <v>8</v>
      </c>
      <c r="K36" s="15"/>
      <c r="L36" s="16">
        <f ca="1">IF(INDIRECT("J"&amp;ROW())="текущие цены",0/1000,432/1000)</f>
        <v>0.432</v>
      </c>
      <c r="M36" s="7"/>
      <c r="N36" s="7"/>
      <c r="O36" s="7"/>
      <c r="P36" s="7"/>
      <c r="Q36" s="7"/>
    </row>
    <row r="37" spans="1:17" ht="45">
      <c r="A37" s="12">
        <v>10</v>
      </c>
      <c r="B37" s="13" t="s">
        <v>30</v>
      </c>
      <c r="C37" s="13" t="s">
        <v>66</v>
      </c>
      <c r="D37" s="14" t="str">
        <f ca="1" t="shared" si="0"/>
        <v> * 1072 </v>
      </c>
      <c r="E37" s="15"/>
      <c r="F37" s="15" t="str">
        <f ca="1">IF(INDIRECT("J"&amp;ROW())="текущие цены",IF(INDIRECT("G"&amp;ROW())="","0","0"),IF(INDIRECT("G"&amp;ROW())="","1072","1072"))</f>
        <v>1072</v>
      </c>
      <c r="G37" s="15"/>
      <c r="H37" s="15"/>
      <c r="I37" s="15"/>
      <c r="J37" s="15" t="s">
        <v>8</v>
      </c>
      <c r="K37" s="15"/>
      <c r="L37" s="16">
        <f ca="1">IF(INDIRECT("J"&amp;ROW())="текущие цены",0/1000,0/1000)</f>
        <v>0</v>
      </c>
      <c r="M37" s="7"/>
      <c r="N37" s="7"/>
      <c r="O37" s="7"/>
      <c r="P37" s="7"/>
      <c r="Q37" s="7"/>
    </row>
    <row r="38" spans="1:17" ht="60">
      <c r="A38" s="12">
        <v>11</v>
      </c>
      <c r="B38" s="13" t="s">
        <v>31</v>
      </c>
      <c r="C38" s="13" t="s">
        <v>67</v>
      </c>
      <c r="D38" s="14" t="str">
        <f ca="1" t="shared" si="0"/>
        <v>1 * 143.2 </v>
      </c>
      <c r="E38" s="15">
        <v>1</v>
      </c>
      <c r="F38" s="15" t="str">
        <f ca="1">IF(INDIRECT("J"&amp;ROW())="текущие цены",IF(INDIRECT("G"&amp;ROW())="","0","0"),IF(INDIRECT("G"&amp;ROW())="","143.2","143.2"))</f>
        <v>143.2</v>
      </c>
      <c r="G38" s="15"/>
      <c r="H38" s="15"/>
      <c r="I38" s="15"/>
      <c r="J38" s="15" t="s">
        <v>8</v>
      </c>
      <c r="K38" s="15"/>
      <c r="L38" s="16">
        <f ca="1">IF(INDIRECT("J"&amp;ROW())="текущие цены",0/1000,143/1000)</f>
        <v>0.143</v>
      </c>
      <c r="M38" s="7"/>
      <c r="N38" s="7"/>
      <c r="O38" s="7"/>
      <c r="P38" s="7"/>
      <c r="Q38" s="7"/>
    </row>
    <row r="39" spans="1:17" ht="33.75" customHeight="1">
      <c r="A39" s="12">
        <v>12</v>
      </c>
      <c r="B39" s="13" t="s">
        <v>32</v>
      </c>
      <c r="C39" s="13" t="s">
        <v>68</v>
      </c>
      <c r="D39" s="14" t="str">
        <f ca="1" t="shared" si="0"/>
        <v>5 * 87.8 </v>
      </c>
      <c r="E39" s="15">
        <v>5</v>
      </c>
      <c r="F39" s="15" t="str">
        <f ca="1">IF(INDIRECT("J"&amp;ROW())="текущие цены",IF(INDIRECT("G"&amp;ROW())="","0","0"),IF(INDIRECT("G"&amp;ROW())="","87.8","87.8"))</f>
        <v>87.8</v>
      </c>
      <c r="G39" s="15"/>
      <c r="H39" s="15"/>
      <c r="I39" s="15"/>
      <c r="J39" s="15" t="s">
        <v>8</v>
      </c>
      <c r="K39" s="15"/>
      <c r="L39" s="16">
        <f ca="1">IF(INDIRECT("J"&amp;ROW())="текущие цены",0/1000,439/1000)</f>
        <v>0.439</v>
      </c>
      <c r="M39" s="7"/>
      <c r="N39" s="7"/>
      <c r="O39" s="7"/>
      <c r="P39" s="7"/>
      <c r="Q39" s="7"/>
    </row>
    <row r="40" spans="1:17" ht="60">
      <c r="A40" s="12">
        <v>13</v>
      </c>
      <c r="B40" s="13" t="s">
        <v>33</v>
      </c>
      <c r="C40" s="13" t="s">
        <v>69</v>
      </c>
      <c r="D40" s="14" t="str">
        <f ca="1" t="shared" si="0"/>
        <v>5 * 172.5 </v>
      </c>
      <c r="E40" s="15">
        <v>5</v>
      </c>
      <c r="F40" s="15" t="str">
        <f ca="1">IF(INDIRECT("J"&amp;ROW())="текущие цены",IF(INDIRECT("G"&amp;ROW())="","0","0"),IF(INDIRECT("G"&amp;ROW())="","172.5","172.5"))</f>
        <v>172.5</v>
      </c>
      <c r="G40" s="15"/>
      <c r="H40" s="15"/>
      <c r="I40" s="15"/>
      <c r="J40" s="15" t="s">
        <v>8</v>
      </c>
      <c r="K40" s="15"/>
      <c r="L40" s="16">
        <f ca="1">IF(INDIRECT("J"&amp;ROW())="текущие цены",0/1000,863/1000)</f>
        <v>0.863</v>
      </c>
      <c r="M40" s="7"/>
      <c r="N40" s="7"/>
      <c r="O40" s="7"/>
      <c r="P40" s="7"/>
      <c r="Q40" s="7"/>
    </row>
    <row r="41" spans="1:17" ht="45">
      <c r="A41" s="12">
        <v>14</v>
      </c>
      <c r="B41" s="13" t="s">
        <v>34</v>
      </c>
      <c r="C41" s="13" t="s">
        <v>70</v>
      </c>
      <c r="D41" s="14" t="str">
        <f ca="1" t="shared" si="0"/>
        <v>0,2 * 34.3 </v>
      </c>
      <c r="E41" s="15">
        <v>0.2</v>
      </c>
      <c r="F41" s="15" t="str">
        <f ca="1">IF(INDIRECT("J"&amp;ROW())="текущие цены",IF(INDIRECT("G"&amp;ROW())="","0","0"),IF(INDIRECT("G"&amp;ROW())="","34.3","34.3"))</f>
        <v>34.3</v>
      </c>
      <c r="G41" s="15"/>
      <c r="H41" s="15"/>
      <c r="I41" s="15"/>
      <c r="J41" s="15" t="s">
        <v>8</v>
      </c>
      <c r="K41" s="15"/>
      <c r="L41" s="16">
        <f ca="1">IF(INDIRECT("J"&amp;ROW())="текущие цены",0/1000,7/1000)</f>
        <v>0.007</v>
      </c>
      <c r="M41" s="7"/>
      <c r="N41" s="7"/>
      <c r="O41" s="7"/>
      <c r="P41" s="7"/>
      <c r="Q41" s="7"/>
    </row>
    <row r="42" spans="1:17" ht="45">
      <c r="A42" s="12">
        <v>15</v>
      </c>
      <c r="B42" s="13" t="s">
        <v>35</v>
      </c>
      <c r="C42" s="13" t="s">
        <v>71</v>
      </c>
      <c r="D42" s="14" t="str">
        <f ca="1" t="shared" si="0"/>
        <v>5 * 7.6 </v>
      </c>
      <c r="E42" s="15">
        <v>5</v>
      </c>
      <c r="F42" s="15" t="str">
        <f ca="1">IF(INDIRECT("J"&amp;ROW())="текущие цены",IF(INDIRECT("G"&amp;ROW())="","0","0"),IF(INDIRECT("G"&amp;ROW())="","7.6","7.6"))</f>
        <v>7.6</v>
      </c>
      <c r="G42" s="15"/>
      <c r="H42" s="15"/>
      <c r="I42" s="15"/>
      <c r="J42" s="15" t="s">
        <v>8</v>
      </c>
      <c r="K42" s="15"/>
      <c r="L42" s="16">
        <f ca="1">IF(INDIRECT("J"&amp;ROW())="текущие цены",0/1000,38/1000)</f>
        <v>0.038</v>
      </c>
      <c r="M42" s="7"/>
      <c r="N42" s="7"/>
      <c r="O42" s="7"/>
      <c r="P42" s="7"/>
      <c r="Q42" s="7"/>
    </row>
    <row r="43" spans="1:17" ht="90">
      <c r="A43" s="12">
        <v>16</v>
      </c>
      <c r="B43" s="13" t="s">
        <v>36</v>
      </c>
      <c r="C43" s="13" t="s">
        <v>72</v>
      </c>
      <c r="D43" s="14" t="str">
        <f ca="1" t="shared" si="0"/>
        <v>5 * 220.2 </v>
      </c>
      <c r="E43" s="15">
        <v>5</v>
      </c>
      <c r="F43" s="15" t="str">
        <f ca="1">IF(INDIRECT("J"&amp;ROW())="текущие цены",IF(INDIRECT("G"&amp;ROW())="","0","0"),IF(INDIRECT("G"&amp;ROW())="","220.2","220.2"))</f>
        <v>220.2</v>
      </c>
      <c r="G43" s="15"/>
      <c r="H43" s="15"/>
      <c r="I43" s="15"/>
      <c r="J43" s="15" t="s">
        <v>8</v>
      </c>
      <c r="K43" s="15"/>
      <c r="L43" s="16">
        <f ca="1">IF(INDIRECT("J"&amp;ROW())="текущие цены",0/1000,1101/1000)</f>
        <v>1.101</v>
      </c>
      <c r="M43" s="7"/>
      <c r="N43" s="7"/>
      <c r="O43" s="7"/>
      <c r="P43" s="7"/>
      <c r="Q43" s="7"/>
    </row>
    <row r="44" spans="1:17" ht="45">
      <c r="A44" s="12">
        <v>17</v>
      </c>
      <c r="B44" s="13" t="s">
        <v>37</v>
      </c>
      <c r="C44" s="13" t="s">
        <v>73</v>
      </c>
      <c r="D44" s="14" t="str">
        <f ca="1" t="shared" si="0"/>
        <v>5 * 19.1 </v>
      </c>
      <c r="E44" s="15">
        <v>5</v>
      </c>
      <c r="F44" s="15" t="str">
        <f ca="1">IF(INDIRECT("J"&amp;ROW())="текущие цены",IF(INDIRECT("G"&amp;ROW())="","0","0"),IF(INDIRECT("G"&amp;ROW())="","19.1","19.1"))</f>
        <v>19.1</v>
      </c>
      <c r="G44" s="15"/>
      <c r="H44" s="15"/>
      <c r="I44" s="15"/>
      <c r="J44" s="15" t="s">
        <v>8</v>
      </c>
      <c r="K44" s="15"/>
      <c r="L44" s="16">
        <f ca="1">IF(INDIRECT("J"&amp;ROW())="текущие цены",0/1000,96/1000)</f>
        <v>0.096</v>
      </c>
      <c r="M44" s="7"/>
      <c r="N44" s="7"/>
      <c r="O44" s="7"/>
      <c r="P44" s="7"/>
      <c r="Q44" s="7"/>
    </row>
    <row r="45" spans="1:17" ht="45">
      <c r="A45" s="12">
        <v>18</v>
      </c>
      <c r="B45" s="13" t="s">
        <v>38</v>
      </c>
      <c r="C45" s="13" t="s">
        <v>74</v>
      </c>
      <c r="D45" s="14" t="str">
        <f ca="1" t="shared" si="0"/>
        <v>5 * 39.9 </v>
      </c>
      <c r="E45" s="15">
        <v>5</v>
      </c>
      <c r="F45" s="15" t="str">
        <f ca="1">IF(INDIRECT("J"&amp;ROW())="текущие цены",IF(INDIRECT("G"&amp;ROW())="","0","0"),IF(INDIRECT("G"&amp;ROW())="","39.9","39.9"))</f>
        <v>39.9</v>
      </c>
      <c r="G45" s="15"/>
      <c r="H45" s="15"/>
      <c r="I45" s="15"/>
      <c r="J45" s="15" t="s">
        <v>8</v>
      </c>
      <c r="K45" s="15"/>
      <c r="L45" s="16">
        <f ca="1">IF(INDIRECT("J"&amp;ROW())="текущие цены",0/1000,200/1000)</f>
        <v>0.2</v>
      </c>
      <c r="M45" s="7"/>
      <c r="N45" s="7"/>
      <c r="O45" s="7"/>
      <c r="P45" s="7"/>
      <c r="Q45" s="7"/>
    </row>
    <row r="46" spans="1:17" ht="45">
      <c r="A46" s="12">
        <v>19</v>
      </c>
      <c r="B46" s="13" t="s">
        <v>39</v>
      </c>
      <c r="C46" s="13" t="s">
        <v>75</v>
      </c>
      <c r="D46" s="14" t="str">
        <f ca="1" t="shared" si="0"/>
        <v>5 * 96.2 </v>
      </c>
      <c r="E46" s="15">
        <v>5</v>
      </c>
      <c r="F46" s="15" t="str">
        <f ca="1">IF(INDIRECT("J"&amp;ROW())="текущие цены",IF(INDIRECT("G"&amp;ROW())="","0","0"),IF(INDIRECT("G"&amp;ROW())="","96.2","96.2"))</f>
        <v>96.2</v>
      </c>
      <c r="G46" s="15"/>
      <c r="H46" s="15"/>
      <c r="I46" s="15"/>
      <c r="J46" s="15" t="s">
        <v>8</v>
      </c>
      <c r="K46" s="15"/>
      <c r="L46" s="16">
        <f ca="1">IF(INDIRECT("J"&amp;ROW())="текущие цены",0/1000,481/1000)</f>
        <v>0.481</v>
      </c>
      <c r="M46" s="7"/>
      <c r="N46" s="7"/>
      <c r="O46" s="7"/>
      <c r="P46" s="7"/>
      <c r="Q46" s="7"/>
    </row>
    <row r="47" spans="1:17" ht="45">
      <c r="A47" s="17">
        <v>20</v>
      </c>
      <c r="B47" s="18" t="s">
        <v>40</v>
      </c>
      <c r="C47" s="18" t="s">
        <v>76</v>
      </c>
      <c r="D47" s="19" t="str">
        <f ca="1" t="shared" si="0"/>
        <v>5 * 256.9 </v>
      </c>
      <c r="E47" s="20">
        <v>5</v>
      </c>
      <c r="F47" s="20" t="str">
        <f ca="1">IF(INDIRECT("J"&amp;ROW())="текущие цены",IF(INDIRECT("G"&amp;ROW())="","0","0"),IF(INDIRECT("G"&amp;ROW())="","256.9","256.9"))</f>
        <v>256.9</v>
      </c>
      <c r="G47" s="20"/>
      <c r="H47" s="20"/>
      <c r="I47" s="20"/>
      <c r="J47" s="20" t="s">
        <v>8</v>
      </c>
      <c r="K47" s="20"/>
      <c r="L47" s="21">
        <f ca="1">IF(INDIRECT("J"&amp;ROW())="текущие цены",0/1000,1285/1000)</f>
        <v>1.285</v>
      </c>
      <c r="M47" s="7"/>
      <c r="N47" s="7"/>
      <c r="O47" s="7"/>
      <c r="P47" s="7"/>
      <c r="Q47" s="7"/>
    </row>
    <row r="48" spans="1:17" ht="15">
      <c r="A48" s="34" t="s">
        <v>80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16">
        <f>5089/1000</f>
        <v>5.089</v>
      </c>
      <c r="M48" s="7"/>
      <c r="N48" s="7"/>
      <c r="O48" s="7"/>
      <c r="P48" s="7"/>
      <c r="Q48" s="7"/>
    </row>
    <row r="49" spans="1:17" ht="15.75">
      <c r="A49" s="38" t="s">
        <v>41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16"/>
      <c r="M49" s="7"/>
      <c r="N49" s="7"/>
      <c r="O49" s="7"/>
      <c r="P49" s="7"/>
      <c r="Q49" s="7"/>
    </row>
    <row r="50" spans="1:17" ht="15">
      <c r="A50" s="34" t="s">
        <v>42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16">
        <f>5089/1000</f>
        <v>5.089</v>
      </c>
      <c r="M50" s="7"/>
      <c r="N50" s="7"/>
      <c r="O50" s="7"/>
      <c r="P50" s="7"/>
      <c r="Q50" s="7"/>
    </row>
    <row r="51" spans="1:17" ht="15">
      <c r="A51" s="34" t="s">
        <v>16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16">
        <f>5089/1000</f>
        <v>5.089</v>
      </c>
      <c r="M51" s="7"/>
      <c r="N51" s="7"/>
      <c r="O51" s="7"/>
      <c r="P51" s="7"/>
      <c r="Q51" s="7"/>
    </row>
    <row r="52" spans="1:17" ht="15">
      <c r="A52" s="34" t="s">
        <v>56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16">
        <f>224883/1000</f>
        <v>224.883</v>
      </c>
      <c r="M52" s="7"/>
      <c r="N52" s="7"/>
      <c r="O52" s="7"/>
      <c r="P52" s="7"/>
      <c r="Q52" s="7"/>
    </row>
    <row r="53" spans="1:17" ht="15" customHeight="1">
      <c r="A53" s="36" t="s">
        <v>43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21">
        <f>224883/1000</f>
        <v>224.883</v>
      </c>
      <c r="M53" s="7"/>
      <c r="N53" s="7"/>
      <c r="O53" s="7"/>
      <c r="P53" s="7"/>
      <c r="Q53" s="7"/>
    </row>
    <row r="54" spans="1:17" ht="15">
      <c r="A54" s="40" t="s">
        <v>81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22">
        <f>572646/1000</f>
        <v>572.646</v>
      </c>
      <c r="M54" s="7"/>
      <c r="N54" s="7"/>
      <c r="O54" s="7"/>
      <c r="P54" s="7"/>
      <c r="Q54" s="7"/>
    </row>
    <row r="55" spans="1:17" ht="31.5" customHeight="1">
      <c r="A55" s="41" t="s">
        <v>44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22"/>
      <c r="M55" s="7"/>
      <c r="N55" s="7"/>
      <c r="O55" s="7"/>
      <c r="P55" s="7"/>
      <c r="Q55" s="7"/>
    </row>
    <row r="56" spans="1:17" ht="15">
      <c r="A56" s="40" t="s">
        <v>77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22">
        <f>2145972/1000</f>
        <v>2145.972</v>
      </c>
      <c r="M56" s="7"/>
      <c r="N56" s="7"/>
      <c r="O56" s="7"/>
      <c r="P56" s="7"/>
      <c r="Q56" s="7"/>
    </row>
    <row r="57" spans="1:17" ht="15">
      <c r="A57" s="40" t="s">
        <v>78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22">
        <f>33969/1000</f>
        <v>33.969</v>
      </c>
      <c r="M57" s="7"/>
      <c r="N57" s="7"/>
      <c r="O57" s="7"/>
      <c r="P57" s="7"/>
      <c r="Q57" s="7"/>
    </row>
    <row r="58" spans="1:17" ht="15">
      <c r="A58" s="40" t="s">
        <v>79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22">
        <f>224883/1000</f>
        <v>224.883</v>
      </c>
      <c r="M58" s="7"/>
      <c r="N58" s="7"/>
      <c r="O58" s="7"/>
      <c r="P58" s="7"/>
      <c r="Q58" s="7"/>
    </row>
    <row r="59" spans="1:17" ht="15">
      <c r="A59" s="40" t="s">
        <v>16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22">
        <f>2404824/1000</f>
        <v>2404.824</v>
      </c>
      <c r="M59" s="7"/>
      <c r="N59" s="7"/>
      <c r="O59" s="7"/>
      <c r="P59" s="7"/>
      <c r="Q59" s="7"/>
    </row>
    <row r="60" spans="1:17" ht="31.5" customHeight="1">
      <c r="A60" s="40" t="s">
        <v>45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22">
        <f>432868/1000</f>
        <v>432.868</v>
      </c>
      <c r="M60" s="7"/>
      <c r="N60" s="7"/>
      <c r="O60" s="7"/>
      <c r="P60" s="7"/>
      <c r="Q60" s="7"/>
    </row>
    <row r="61" spans="1:17" ht="15.75">
      <c r="A61" s="41" t="s">
        <v>46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22">
        <f>2837692/1000</f>
        <v>2837.692</v>
      </c>
      <c r="M61" s="7"/>
      <c r="N61" s="7"/>
      <c r="O61" s="7"/>
      <c r="P61" s="7"/>
      <c r="Q61" s="7"/>
    </row>
    <row r="62" spans="1:17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8"/>
      <c r="N62" s="9"/>
      <c r="O62" s="9"/>
      <c r="P62" s="9"/>
      <c r="Q62" s="9"/>
    </row>
    <row r="63" spans="2:12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1" t="s">
        <v>1</v>
      </c>
      <c r="B64" s="2"/>
      <c r="C64" s="10" t="s">
        <v>82</v>
      </c>
      <c r="D64" s="2"/>
      <c r="E64" s="2"/>
      <c r="F64" s="2"/>
      <c r="G64" s="2"/>
      <c r="H64" s="2"/>
      <c r="I64" s="2"/>
      <c r="J64" s="2"/>
      <c r="K64" s="2"/>
      <c r="L64" s="2"/>
    </row>
    <row r="65" ht="15"/>
    <row r="66" spans="1:12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</sheetData>
  <sheetProtection/>
  <mergeCells count="39">
    <mergeCell ref="A56:K56"/>
    <mergeCell ref="A57:K57"/>
    <mergeCell ref="A58:K58"/>
    <mergeCell ref="A59:K59"/>
    <mergeCell ref="A60:K60"/>
    <mergeCell ref="A6:L6"/>
    <mergeCell ref="A31:K31"/>
    <mergeCell ref="A19:K19"/>
    <mergeCell ref="A20:K20"/>
    <mergeCell ref="A21:K21"/>
    <mergeCell ref="A22:K22"/>
    <mergeCell ref="A23:K23"/>
    <mergeCell ref="A24:L24"/>
    <mergeCell ref="A27:K27"/>
    <mergeCell ref="A28:K28"/>
    <mergeCell ref="A29:K29"/>
    <mergeCell ref="A30:K30"/>
    <mergeCell ref="A9:B9"/>
    <mergeCell ref="C1:L1"/>
    <mergeCell ref="C2:L2"/>
    <mergeCell ref="C3:L3"/>
    <mergeCell ref="C4:L4"/>
    <mergeCell ref="C5:L5"/>
    <mergeCell ref="A66:L66"/>
    <mergeCell ref="A7:L7"/>
    <mergeCell ref="C9:L9"/>
    <mergeCell ref="A13:L13"/>
    <mergeCell ref="A18:K18"/>
    <mergeCell ref="A32:K32"/>
    <mergeCell ref="A33:L33"/>
    <mergeCell ref="A48:K48"/>
    <mergeCell ref="A49:K49"/>
    <mergeCell ref="A50:K50"/>
    <mergeCell ref="A51:K51"/>
    <mergeCell ref="A52:K52"/>
    <mergeCell ref="A53:K53"/>
    <mergeCell ref="A54:K54"/>
    <mergeCell ref="A55:K55"/>
    <mergeCell ref="A61:K61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portrait" paperSize="9" scale="66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a.pastuhova</dc:creator>
  <cp:keywords/>
  <dc:description>27.04.2009</dc:description>
  <cp:lastModifiedBy>e.plahova</cp:lastModifiedBy>
  <cp:lastPrinted>2009-02-02T07:59:09Z</cp:lastPrinted>
  <dcterms:created xsi:type="dcterms:W3CDTF">2007-02-21T08:42:24Z</dcterms:created>
  <dcterms:modified xsi:type="dcterms:W3CDTF">2015-09-11T14:19:20Z</dcterms:modified>
  <cp:category/>
  <cp:version/>
  <cp:contentType/>
  <cp:contentStatus/>
</cp:coreProperties>
</file>