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данные'!$10:$10</definedName>
    <definedName name="_xlnm.Print_Area" localSheetId="0">'Мои данные'!$A$1:$L$68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Alex</author>
  </authors>
  <commentList>
    <comment ref="A10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0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0" authorId="1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A61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61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0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0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0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0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0" authorId="2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0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0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0" authorId="1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K10" authorId="1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</commentList>
</comments>
</file>

<file path=xl/sharedStrings.xml><?xml version="1.0" encoding="utf-8"?>
<sst xmlns="http://schemas.openxmlformats.org/spreadsheetml/2006/main" count="130" uniqueCount="80">
  <si>
    <t>№ пп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</si>
  <si>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</si>
  <si>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</si>
  <si>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</si>
  <si>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Инженерно-геологическая, гидрогеологическая рекогносцировка при проходимости хорошей: 2 категория сложности, полевые работы</t>
  </si>
  <si>
    <t>1,196*1,06*1,1875</t>
  </si>
  <si>
    <t>цены 2001</t>
  </si>
  <si>
    <t>(УБЦ2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</si>
  <si>
    <t>Бурение механическим ударно-канатным способом скважины диаметром до 127мм: категория породы 2</t>
  </si>
  <si>
    <t>Гидрогеологические наблюдения при бурении скважины глубиной 5-10м диаметром 89-127мм</t>
  </si>
  <si>
    <t>Отбор монолитов из буровых скважин (связные грунты) с глубины до 10м</t>
  </si>
  <si>
    <t>Итоги по разделу 1 инженерно-геологические полевые  работы :</t>
  </si>
  <si>
    <t xml:space="preserve">  Инженерно-геологические и инженерно-экологические изыскания (1999)</t>
  </si>
  <si>
    <t xml:space="preserve">  Итого</t>
  </si>
  <si>
    <t xml:space="preserve">  Итого по разделу 1 инженерно-геологические полевые  работы</t>
  </si>
  <si>
    <t>Исследование консистенции при нарушенной структуре глинистых грунтов</t>
  </si>
  <si>
    <t>Исследование консистенции при ненарушенной структуре глинистых грунтов</t>
  </si>
  <si>
    <t>Стандартный (типовой) анализ воды</t>
  </si>
  <si>
    <t>Единичные определения химического состава воды: объемный метод из специальной пробы, ингредиент - углекислота агрессивная</t>
  </si>
  <si>
    <t>Определение коррозионной активности грунтов по отношению к стали</t>
  </si>
  <si>
    <t>Определение коррозионной активности грунтов и грунтовых вод по отношению к бетону</t>
  </si>
  <si>
    <t>Определение коррозионной активности грунтов по отношению к свинцовой и алюминиевой оболочке кабеля одновременно</t>
  </si>
  <si>
    <t>Итоги по разделу 2 лабораторные работы :</t>
  </si>
  <si>
    <t xml:space="preserve">  Итого по разделу 2 лабораторные работы</t>
  </si>
  <si>
    <t>Инженерно-геологическая, гидрогеологическая рекогносцировка при проходимости хорошей: 2 категория сложности, камеральные работы</t>
  </si>
  <si>
    <t>Камеральная обработка материалов буровых и горнопроходческих работ: категория сложности инженерно-геологических условий 2</t>
  </si>
  <si>
    <t>(камеральная обработка ПЗ=0,15 (ОЗП=0,15; ЭМ=0,15 к расх.; ЗПМ=0,15; МАТ=0,15 к расх.; ТЗ=0,15; ТЗМ=0,15))</t>
  </si>
  <si>
    <t>(камеральная обработка ПЗ=0,12 (ОЗП=0,12; ЭМ=0,12 к расх.; ЗПМ=0,12; МАТ=0,12 к расх.; ТЗ=0,12; ТЗМ=0,12))</t>
  </si>
  <si>
    <t>(ПЗ=0,15 (ОЗП=0,15; ЭМ=0,15 к расх.; ЗПМ=0,15; МАТ=0,15 к расх.; ТЗ=0,15; ТЗМ=0,15))</t>
  </si>
  <si>
    <t>Составление программы производства работ, средняя глубина исследования: 5-10м, исследуемая площадь до 1км2</t>
  </si>
  <si>
    <t>Итоги по разделу 3 камеральные работы :</t>
  </si>
  <si>
    <t xml:space="preserve">  Итого по разделу 3 камеральные работы</t>
  </si>
  <si>
    <t>Составление технического отчета (заключения) о результатах выполненных работ (в % от стоимости камеральных работ), стоимость камеральных работ до 5 тыс. руб.: категория сложности инженерно-геологических условий 2 - 21%</t>
  </si>
  <si>
    <t>Итоги по разделу 4  :</t>
  </si>
  <si>
    <t xml:space="preserve">  Всего с учетом " "</t>
  </si>
  <si>
    <t xml:space="preserve">  Итого по разделу 4 </t>
  </si>
  <si>
    <t>Итоги по смете:</t>
  </si>
  <si>
    <t xml:space="preserve">  НДС 18%</t>
  </si>
  <si>
    <t xml:space="preserve">  ВСЕГО по смете</t>
  </si>
  <si>
    <t xml:space="preserve">                            инженерно-геологические полевые  работы</t>
  </si>
  <si>
    <t xml:space="preserve">  Всего с учетом перевод в текущие цены на 1 квартал 2015 г. 42,91</t>
  </si>
  <si>
    <t xml:space="preserve">                            лабораторные работы</t>
  </si>
  <si>
    <t xml:space="preserve">                            камеральные работы</t>
  </si>
  <si>
    <t xml:space="preserve">                            </t>
  </si>
  <si>
    <r>
      <t xml:space="preserve">СБЦИ3-9-1-2-1
</t>
    </r>
    <r>
      <rPr>
        <i/>
        <sz val="11"/>
        <rFont val="Arial"/>
        <family val="2"/>
      </rPr>
      <t>"Инж.-геологические и инж.-экологич. изыскания (1999 г.)"
(УБЦ2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  </r>
  </si>
  <si>
    <r>
      <t xml:space="preserve">СБЦИ3-19-1-2
</t>
    </r>
    <r>
      <rPr>
        <i/>
        <sz val="11"/>
        <rFont val="Arial"/>
        <family val="2"/>
      </rPr>
      <t>"Инж.-геологические и инж.-экологич. изыскания (1999 г.)"
(УБЦ2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  </r>
  </si>
  <si>
    <r>
      <t xml:space="preserve">СБЦИ3-15-2-3
</t>
    </r>
    <r>
      <rPr>
        <i/>
        <sz val="11"/>
        <rFont val="Arial"/>
        <family val="2"/>
      </rPr>
      <t>"Инж.-геологические и инж.-экологич. изыскания (1999 г.)"
(УБЦ2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  </r>
  </si>
  <si>
    <r>
      <t xml:space="preserve">СБЦИ3-57-1-1
</t>
    </r>
    <r>
      <rPr>
        <i/>
        <sz val="11"/>
        <rFont val="Arial"/>
        <family val="2"/>
      </rPr>
      <t>"Инж.-геологические и инж.-экологич. изыскания (1999 г.)"
(УБЦ2 табл.5 п.2.Расходы по внешнему транспорту при расстоянии проезда в одном направлении 100-300 км, при экспедиционных условиях продолжит. до 1 мес. ПЗ=19,6%;
УБЦ2 п.13 ОУ.Расходы на организацию и ликвидацию инженерно-геодезических работ ПЗ=1,06;
УБЦ2 табл.4 п.5.Расходы по внутреннему транспорту при расстоянии от базы до участка изысканий 20-30 км, при сметной ст-ти полевых изыск. работ до 75 тыс. руб. ПЗ=18,75%)</t>
    </r>
  </si>
  <si>
    <r>
      <t xml:space="preserve">СБЦИ3-63-3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</si>
  <si>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СБЦИ3-63-4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</si>
  <si>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СБЦИ3-73-2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</si>
  <si>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СБЦИ3-72-64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</si>
  <si>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СБЦИ3-75-4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</si>
  <si>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СБЦИ3-75-5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</si>
  <si>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СБЦИ3-75-3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</si>
  <si>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СБЦИ3-9-1-2-2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</si>
  <si>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СБЦИ3-82-1-2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</si>
  <si>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СБЦИ3-63-3
</t>
    </r>
    <r>
      <rPr>
        <i/>
        <sz val="11"/>
        <rFont val="Arial"/>
        <family val="2"/>
      </rPr>
      <t>"Инж.-геологические и инж.-экологич. изыскания (1999 г.)"
(камеральная обработка ПЗ=0,15 (ОЗП=0,15; ЭМ=0,15 к расх.; ЗПМ=0,15; МАТ=0,15 к расх.; ТЗ=0,15; ТЗМ=0,15))</t>
    </r>
  </si>
  <si>
    <r>
      <t xml:space="preserve">СБЦИ3-63-4
</t>
    </r>
    <r>
      <rPr>
        <i/>
        <sz val="11"/>
        <rFont val="Arial"/>
        <family val="2"/>
      </rPr>
      <t>"Инж.-геологические и инж.-экологич. изыскания (1999 г.)"
(камеральная обработка ПЗ=0,15 (ОЗП=0,15; ЭМ=0,15 к расх.; ЗПМ=0,15; МАТ=0,15 к расх.; ТЗ=0,15; ТЗМ=0,15))</t>
    </r>
  </si>
  <si>
    <r>
      <t xml:space="preserve">СБЦИ3-73-2
</t>
    </r>
    <r>
      <rPr>
        <i/>
        <sz val="11"/>
        <rFont val="Arial"/>
        <family val="2"/>
      </rPr>
      <t>"Инж.-геологические и инж.-экологич. изыскания (1999 г.)"
(камеральная обработка ПЗ=0,12 (ОЗП=0,12; ЭМ=0,12 к расх.; ЗПМ=0,12; МАТ=0,12 к расх.; ТЗ=0,12; ТЗМ=0,12))</t>
    </r>
  </si>
  <si>
    <r>
      <t xml:space="preserve">СБЦИ3-72-64
</t>
    </r>
    <r>
      <rPr>
        <i/>
        <sz val="11"/>
        <rFont val="Arial"/>
        <family val="2"/>
      </rPr>
      <t>"Инж.-геологические и инж.-экологич. изыскания (1999 г.)"
(камеральная обработка ПЗ=0,15 (ОЗП=0,15; ЭМ=0,15 к расх.; ЗПМ=0,15; МАТ=0,15 к расх.; ТЗ=0,15; ТЗМ=0,15))</t>
    </r>
  </si>
  <si>
    <r>
      <t xml:space="preserve">СБЦИ3-75-4
</t>
    </r>
    <r>
      <rPr>
        <i/>
        <sz val="11"/>
        <rFont val="Arial"/>
        <family val="2"/>
      </rPr>
      <t>"Инж.-геологические и инж.-экологич. изыскания (1999 г.)"
(ПЗ=0,15 (ОЗП=0,15; ЭМ=0,15 к расх.; ЗПМ=0,15; МАТ=0,15 к расх.; ТЗ=0,15; ТЗМ=0,15))</t>
    </r>
  </si>
  <si>
    <r>
      <t xml:space="preserve">СБЦИ3-75-5
</t>
    </r>
    <r>
      <rPr>
        <i/>
        <sz val="11"/>
        <rFont val="Arial"/>
        <family val="2"/>
      </rPr>
      <t>"Инж.-геологические и инж.-экологич. изыскания (1999 г.)"
(ПЗ=0,15 (ОЗП=0,15; ЭМ=0,15 к расх.; ЗПМ=0,15; МАТ=0,15 к расх.; ТЗ=0,15; ТЗМ=0,15))</t>
    </r>
  </si>
  <si>
    <r>
      <t xml:space="preserve">СБЦИ3-75-3
</t>
    </r>
    <r>
      <rPr>
        <i/>
        <sz val="11"/>
        <rFont val="Arial"/>
        <family val="2"/>
      </rPr>
      <t>"Инж.-геологические и инж.-экологич. изыскания (1999 г.)"
(ПЗ=0,15 (ОЗП=0,15; ЭМ=0,15 к расх.; ЗПМ=0,15; МАТ=0,15 к расх.; ТЗ=0,15; ТЗМ=0,15))</t>
    </r>
  </si>
  <si>
    <r>
      <t xml:space="preserve">СБЦИ3-81-2-1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</si>
  <si>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СБЦИ3-87-1-2
</t>
    </r>
    <r>
      <rPr>
        <i/>
        <sz val="11"/>
        <rFont val="Arial"/>
        <family val="2"/>
      </rPr>
      <t>"Инж.-геологические и инж.-экологич. изыскания (1999 г.)"</t>
    </r>
  </si>
  <si>
    <t xml:space="preserve">  Итого перевод в текущие цены на 1 квартал 2015 г. 42,91</t>
  </si>
  <si>
    <t xml:space="preserve">  Итого " "</t>
  </si>
  <si>
    <t>Итого затраты по разделу</t>
  </si>
  <si>
    <t>Итого затраты по смете</t>
  </si>
  <si>
    <t>инженерно-геологические изыскания</t>
  </si>
  <si>
    <t>Составил:______________Пастухова А.М.</t>
  </si>
  <si>
    <t>Стоимость работ тыс. руб</t>
  </si>
  <si>
    <t>УТВЕРЖДАЮ:</t>
  </si>
  <si>
    <t>Рукододитель управления кап. ремонта и строительства</t>
  </si>
  <si>
    <t>ГП "Калугаоблводоканал"</t>
  </si>
  <si>
    <t>________________Сергеев М.А.</t>
  </si>
  <si>
    <t>на проектно-изыскательские  работы</t>
  </si>
  <si>
    <t>Строительство станции очистки питьевой воды в с.Хвастовичи Калужской области</t>
  </si>
  <si>
    <t>СМЕТА №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</si>
</sst>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47" fillId="32" borderId="0" applyNumberFormat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11" xfId="6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" xfId="53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78" applyFont="1" applyBorder="1" applyAlignment="1">
      <alignment horizontal="right" wrapText="1"/>
      <protection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0" xfId="78" applyFont="1">
      <alignment horizontal="center"/>
      <protection/>
    </xf>
    <xf numFmtId="0" fontId="7" fillId="0" borderId="1" xfId="53" applyFont="1" applyBorder="1" applyAlignment="1">
      <alignment horizontal="left" vertical="top" wrapText="1"/>
      <protection/>
    </xf>
    <xf numFmtId="0" fontId="8" fillId="0" borderId="1" xfId="53" applyFont="1" applyBorder="1" applyAlignment="1">
      <alignment horizontal="left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БазЦ" xfId="57"/>
    <cellStyle name="ИтогоБИМ" xfId="58"/>
    <cellStyle name="ИтогоРесМет" xfId="59"/>
    <cellStyle name="Контрольная ячейка" xfId="60"/>
    <cellStyle name="ЛокСмета" xfId="61"/>
    <cellStyle name="ЛокСмМТСН" xfId="62"/>
    <cellStyle name="М29" xfId="63"/>
    <cellStyle name="Название" xfId="64"/>
    <cellStyle name="Нейтральный" xfId="65"/>
    <cellStyle name="ОбСмета" xfId="66"/>
    <cellStyle name="Параметр" xfId="67"/>
    <cellStyle name="ПеременныеСметы" xfId="68"/>
    <cellStyle name="Плохой" xfId="69"/>
    <cellStyle name="Пояснение" xfId="70"/>
    <cellStyle name="Примечание" xfId="71"/>
    <cellStyle name="Percent" xfId="72"/>
    <cellStyle name="РесСмета" xfId="73"/>
    <cellStyle name="СводкаСтоимРаб" xfId="74"/>
    <cellStyle name="СводРасч" xfId="75"/>
    <cellStyle name="Связанная ячейка" xfId="76"/>
    <cellStyle name="Текст предупреждения" xfId="77"/>
    <cellStyle name="Титул" xfId="78"/>
    <cellStyle name="Comma" xfId="79"/>
    <cellStyle name="Comma [0]" xfId="80"/>
    <cellStyle name="Хвост" xfId="81"/>
    <cellStyle name="Хороший" xfId="82"/>
    <cellStyle name="Экспертиз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zoomScalePageLayoutView="0" workbookViewId="0" topLeftCell="A1">
      <selection activeCell="D76" sqref="D76"/>
    </sheetView>
  </sheetViews>
  <sheetFormatPr defaultColWidth="9.00390625" defaultRowHeight="12.75"/>
  <cols>
    <col min="1" max="1" width="6.375" style="1" customWidth="1"/>
    <col min="2" max="2" width="43.875" style="1" customWidth="1"/>
    <col min="3" max="3" width="41.375" style="1" customWidth="1"/>
    <col min="4" max="4" width="21.75390625" style="1" customWidth="1"/>
    <col min="5" max="10" width="22.125" style="1" hidden="1" customWidth="1"/>
    <col min="11" max="11" width="73.75390625" style="1" hidden="1" customWidth="1"/>
    <col min="12" max="12" width="16.00390625" style="1" customWidth="1"/>
    <col min="13" max="15" width="9.125" style="1" customWidth="1"/>
    <col min="16" max="16384" width="9.125" style="1" customWidth="1"/>
  </cols>
  <sheetData>
    <row r="1" spans="1:12" ht="18" customHeight="1">
      <c r="A1" s="22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 t="s">
        <v>74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39" customHeight="1">
      <c r="A4" s="22" t="s">
        <v>76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8">
      <c r="A5" s="31" t="s">
        <v>79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">
      <c r="A6" s="20" t="s">
        <v>77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">
      <c r="A7" s="20" t="s">
        <v>78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28.5" customHeight="1">
      <c r="A8" s="2"/>
      <c r="B8" s="20" t="s">
        <v>70</v>
      </c>
      <c r="C8" s="20"/>
      <c r="D8" s="20"/>
      <c r="E8" s="2"/>
      <c r="F8" s="2"/>
      <c r="G8" s="2"/>
      <c r="H8" s="2"/>
      <c r="I8" s="2"/>
      <c r="J8" s="2"/>
      <c r="K8" s="2"/>
      <c r="L8" s="2"/>
    </row>
    <row r="9" spans="1:12" s="4" customFormat="1" ht="121.5" customHeight="1">
      <c r="A9" s="3" t="s">
        <v>0</v>
      </c>
      <c r="B9" s="3" t="s">
        <v>1</v>
      </c>
      <c r="C9" s="3" t="s">
        <v>2</v>
      </c>
      <c r="D9" s="3" t="s">
        <v>3</v>
      </c>
      <c r="E9" s="3"/>
      <c r="F9" s="3"/>
      <c r="G9" s="3"/>
      <c r="H9" s="3"/>
      <c r="I9" s="3"/>
      <c r="J9" s="3"/>
      <c r="K9" s="3"/>
      <c r="L9" s="3" t="s">
        <v>72</v>
      </c>
    </row>
    <row r="10" spans="1:12" ht="15">
      <c r="A10" s="8">
        <v>1</v>
      </c>
      <c r="B10" s="8">
        <v>2</v>
      </c>
      <c r="C10" s="8">
        <v>3</v>
      </c>
      <c r="D10" s="8">
        <v>4</v>
      </c>
      <c r="E10" s="8"/>
      <c r="F10" s="8"/>
      <c r="G10" s="8"/>
      <c r="H10" s="8"/>
      <c r="I10" s="8"/>
      <c r="J10" s="8"/>
      <c r="K10" s="8"/>
      <c r="L10" s="8">
        <v>5</v>
      </c>
    </row>
    <row r="11" spans="1:12" s="5" customFormat="1" ht="22.5" customHeight="1">
      <c r="A11" s="23" t="s">
        <v>39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7" s="7" customFormat="1" ht="240">
      <c r="A12" s="9">
        <v>1</v>
      </c>
      <c r="B12" s="10" t="s">
        <v>4</v>
      </c>
      <c r="C12" s="10" t="s">
        <v>44</v>
      </c>
      <c r="D12" s="11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0,5 * 23.3 * 1,196*1,06*1,1875</v>
      </c>
      <c r="E12" s="12">
        <v>0.5</v>
      </c>
      <c r="F12" s="12" t="str">
        <f ca="1">IF(INDIRECT("J"&amp;ROW())="текущие цены",IF(INDIRECT("G"&amp;ROW())="","0","0"),IF(INDIRECT("G"&amp;ROW())="","35.08","23.3"))</f>
        <v>23.3</v>
      </c>
      <c r="G12" s="12" t="s">
        <v>5</v>
      </c>
      <c r="H12" s="12"/>
      <c r="I12" s="12"/>
      <c r="J12" s="12" t="s">
        <v>6</v>
      </c>
      <c r="K12" s="12" t="s">
        <v>7</v>
      </c>
      <c r="L12" s="13">
        <f ca="1">IF(INDIRECT("J"&amp;ROW())="текущие цены",0/1000,18/1000)</f>
        <v>0.018</v>
      </c>
      <c r="M12" s="5"/>
      <c r="N12" s="5"/>
      <c r="O12" s="5"/>
      <c r="P12" s="5"/>
      <c r="Q12" s="5"/>
    </row>
    <row r="13" spans="1:17" ht="240">
      <c r="A13" s="9">
        <v>2</v>
      </c>
      <c r="B13" s="10" t="s">
        <v>8</v>
      </c>
      <c r="C13" s="10" t="s">
        <v>45</v>
      </c>
      <c r="D13" s="11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25 * 18.4 * 1,196*1,06*1,1875</v>
      </c>
      <c r="E13" s="12">
        <v>25</v>
      </c>
      <c r="F13" s="12" t="str">
        <f ca="1">IF(INDIRECT("J"&amp;ROW())="текущие цены",IF(INDIRECT("G"&amp;ROW())="","0","0"),IF(INDIRECT("G"&amp;ROW())="","27.7","18.4"))</f>
        <v>18.4</v>
      </c>
      <c r="G13" s="12" t="s">
        <v>5</v>
      </c>
      <c r="H13" s="12"/>
      <c r="I13" s="12"/>
      <c r="J13" s="12" t="s">
        <v>6</v>
      </c>
      <c r="K13" s="12" t="s">
        <v>7</v>
      </c>
      <c r="L13" s="13">
        <f ca="1">IF(INDIRECT("J"&amp;ROW())="текущие цены",0/1000,693/1000)</f>
        <v>0.693</v>
      </c>
      <c r="M13" s="5"/>
      <c r="N13" s="5"/>
      <c r="O13" s="5"/>
      <c r="P13" s="5"/>
      <c r="Q13" s="5"/>
    </row>
    <row r="14" spans="1:17" ht="240">
      <c r="A14" s="9">
        <v>3</v>
      </c>
      <c r="B14" s="10" t="s">
        <v>9</v>
      </c>
      <c r="C14" s="10" t="s">
        <v>46</v>
      </c>
      <c r="D14" s="11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25 * 1.5 * 1,196*1,06*1,1875</v>
      </c>
      <c r="E14" s="12">
        <v>25</v>
      </c>
      <c r="F14" s="12" t="str">
        <f ca="1">IF(INDIRECT("J"&amp;ROW())="текущие цены",IF(INDIRECT("G"&amp;ROW())="","0","0"),IF(INDIRECT("G"&amp;ROW())="","2.26","1.5"))</f>
        <v>1.5</v>
      </c>
      <c r="G14" s="12" t="s">
        <v>5</v>
      </c>
      <c r="H14" s="12"/>
      <c r="I14" s="12"/>
      <c r="J14" s="12" t="s">
        <v>6</v>
      </c>
      <c r="K14" s="12" t="s">
        <v>7</v>
      </c>
      <c r="L14" s="13">
        <f ca="1">IF(INDIRECT("J"&amp;ROW())="текущие цены",0/1000,57/1000)</f>
        <v>0.057</v>
      </c>
      <c r="M14" s="5"/>
      <c r="N14" s="5"/>
      <c r="O14" s="5"/>
      <c r="P14" s="5"/>
      <c r="Q14" s="5"/>
    </row>
    <row r="15" spans="1:17" ht="240">
      <c r="A15" s="14">
        <v>4</v>
      </c>
      <c r="B15" s="15" t="s">
        <v>10</v>
      </c>
      <c r="C15" s="15" t="s">
        <v>47</v>
      </c>
      <c r="D15" s="16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25 * 22.9 * 1,196*1,06*1,1875</v>
      </c>
      <c r="E15" s="17">
        <v>25</v>
      </c>
      <c r="F15" s="17" t="str">
        <f ca="1">IF(INDIRECT("J"&amp;ROW())="текущие цены",IF(INDIRECT("G"&amp;ROW())="","0","0"),IF(INDIRECT("G"&amp;ROW())="","34.48","22.9"))</f>
        <v>22.9</v>
      </c>
      <c r="G15" s="17" t="s">
        <v>5</v>
      </c>
      <c r="H15" s="17"/>
      <c r="I15" s="17"/>
      <c r="J15" s="17" t="s">
        <v>6</v>
      </c>
      <c r="K15" s="17" t="s">
        <v>7</v>
      </c>
      <c r="L15" s="18">
        <f ca="1">IF(INDIRECT("J"&amp;ROW())="текущие цены",0/1000,862/1000)</f>
        <v>0.862</v>
      </c>
      <c r="M15" s="5"/>
      <c r="N15" s="5"/>
      <c r="O15" s="5"/>
      <c r="P15" s="5"/>
      <c r="Q15" s="5"/>
    </row>
    <row r="16" spans="1:17" ht="15">
      <c r="A16" s="25" t="s">
        <v>68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13">
        <f>1630/1000</f>
        <v>1.63</v>
      </c>
      <c r="M16" s="5"/>
      <c r="N16" s="5"/>
      <c r="O16" s="5"/>
      <c r="P16" s="5"/>
      <c r="Q16" s="5"/>
    </row>
    <row r="17" spans="1:17" ht="15.75">
      <c r="A17" s="27" t="s">
        <v>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13"/>
      <c r="M17" s="5"/>
      <c r="N17" s="5"/>
      <c r="O17" s="5"/>
      <c r="P17" s="5"/>
      <c r="Q17" s="5"/>
    </row>
    <row r="18" spans="1:17" ht="15">
      <c r="A18" s="25" t="s">
        <v>12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13">
        <f>1630/1000</f>
        <v>1.63</v>
      </c>
      <c r="M18" s="5"/>
      <c r="N18" s="5"/>
      <c r="O18" s="5"/>
      <c r="P18" s="5"/>
      <c r="Q18" s="5"/>
    </row>
    <row r="19" spans="1:17" ht="15">
      <c r="A19" s="25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13">
        <f>1630/1000</f>
        <v>1.63</v>
      </c>
      <c r="M19" s="5"/>
      <c r="N19" s="5"/>
      <c r="O19" s="5"/>
      <c r="P19" s="5"/>
      <c r="Q19" s="5"/>
    </row>
    <row r="20" spans="1:17" ht="15">
      <c r="A20" s="25" t="s">
        <v>40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3">
        <f>69943/1000</f>
        <v>69.943</v>
      </c>
      <c r="M20" s="5"/>
      <c r="N20" s="5"/>
      <c r="O20" s="5"/>
      <c r="P20" s="5"/>
      <c r="Q20" s="5"/>
    </row>
    <row r="21" spans="1:17" ht="15" customHeight="1">
      <c r="A21" s="29" t="s">
        <v>14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18">
        <f>69943/1000</f>
        <v>69.943</v>
      </c>
      <c r="M21" s="5"/>
      <c r="N21" s="5"/>
      <c r="O21" s="5"/>
      <c r="P21" s="5"/>
      <c r="Q21" s="5"/>
    </row>
    <row r="22" spans="1:17" ht="16.5">
      <c r="A22" s="23" t="s">
        <v>41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5"/>
      <c r="N22" s="5"/>
      <c r="O22" s="5"/>
      <c r="P22" s="5"/>
      <c r="Q22" s="5"/>
    </row>
    <row r="23" spans="1:17" ht="22.5" customHeight="1">
      <c r="A23" s="9">
        <v>5</v>
      </c>
      <c r="B23" s="10" t="s">
        <v>15</v>
      </c>
      <c r="C23" s="10" t="s">
        <v>48</v>
      </c>
      <c r="D23" s="11" t="str">
        <f aca="true" ca="1" t="shared" si="0" ref="D23:D29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10 * 18.2 </v>
      </c>
      <c r="E23" s="12">
        <v>10</v>
      </c>
      <c r="F23" s="12" t="str">
        <f ca="1">IF(INDIRECT("J"&amp;ROW())="текущие цены",IF(INDIRECT("G"&amp;ROW())="","0","0"),IF(INDIRECT("G"&amp;ROW())="","18.2","18.2"))</f>
        <v>18.2</v>
      </c>
      <c r="G23" s="12"/>
      <c r="H23" s="12"/>
      <c r="I23" s="12"/>
      <c r="J23" s="12" t="s">
        <v>6</v>
      </c>
      <c r="K23" s="12"/>
      <c r="L23" s="13">
        <f ca="1">IF(INDIRECT("J"&amp;ROW())="текущие цены",0/1000,182/1000)</f>
        <v>0.182</v>
      </c>
      <c r="M23" s="5"/>
      <c r="N23" s="5"/>
      <c r="O23" s="5"/>
      <c r="P23" s="5"/>
      <c r="Q23" s="5"/>
    </row>
    <row r="24" spans="1:17" ht="45">
      <c r="A24" s="9">
        <v>6</v>
      </c>
      <c r="B24" s="10" t="s">
        <v>16</v>
      </c>
      <c r="C24" s="10" t="s">
        <v>49</v>
      </c>
      <c r="D24" s="11" t="str">
        <f ca="1" t="shared" si="0"/>
        <v>15 * 20.2 </v>
      </c>
      <c r="E24" s="12">
        <v>15</v>
      </c>
      <c r="F24" s="12" t="str">
        <f ca="1">IF(INDIRECT("J"&amp;ROW())="текущие цены",IF(INDIRECT("G"&amp;ROW())="","0","0"),IF(INDIRECT("G"&amp;ROW())="","20.2","20.2"))</f>
        <v>20.2</v>
      </c>
      <c r="G24" s="12"/>
      <c r="H24" s="12"/>
      <c r="I24" s="12"/>
      <c r="J24" s="12" t="s">
        <v>6</v>
      </c>
      <c r="K24" s="12"/>
      <c r="L24" s="13">
        <f ca="1">IF(INDIRECT("J"&amp;ROW())="текущие цены",0/1000,303/1000)</f>
        <v>0.303</v>
      </c>
      <c r="M24" s="5"/>
      <c r="N24" s="5"/>
      <c r="O24" s="5"/>
      <c r="P24" s="5"/>
      <c r="Q24" s="5"/>
    </row>
    <row r="25" spans="1:17" ht="45">
      <c r="A25" s="9">
        <v>7</v>
      </c>
      <c r="B25" s="10" t="s">
        <v>17</v>
      </c>
      <c r="C25" s="10" t="s">
        <v>50</v>
      </c>
      <c r="D25" s="11" t="str">
        <f ca="1" t="shared" si="0"/>
        <v>4 * 67.3 </v>
      </c>
      <c r="E25" s="12">
        <v>4</v>
      </c>
      <c r="F25" s="12" t="str">
        <f ca="1">IF(INDIRECT("J"&amp;ROW())="текущие цены",IF(INDIRECT("G"&amp;ROW())="","0","0"),IF(INDIRECT("G"&amp;ROW())="","67.3","67.3"))</f>
        <v>67.3</v>
      </c>
      <c r="G25" s="12"/>
      <c r="H25" s="12"/>
      <c r="I25" s="12"/>
      <c r="J25" s="12" t="s">
        <v>6</v>
      </c>
      <c r="K25" s="12"/>
      <c r="L25" s="13">
        <f ca="1">IF(INDIRECT("J"&amp;ROW())="текущие цены",0/1000,269/1000)</f>
        <v>0.269</v>
      </c>
      <c r="M25" s="5"/>
      <c r="N25" s="5"/>
      <c r="O25" s="5"/>
      <c r="P25" s="5"/>
      <c r="Q25" s="5"/>
    </row>
    <row r="26" spans="1:17" ht="60">
      <c r="A26" s="9">
        <v>8</v>
      </c>
      <c r="B26" s="10" t="s">
        <v>18</v>
      </c>
      <c r="C26" s="10" t="s">
        <v>51</v>
      </c>
      <c r="D26" s="11" t="str">
        <f ca="1" t="shared" si="0"/>
        <v>4 * 5.5 </v>
      </c>
      <c r="E26" s="12">
        <v>4</v>
      </c>
      <c r="F26" s="12" t="str">
        <f ca="1">IF(INDIRECT("J"&amp;ROW())="текущие цены",IF(INDIRECT("G"&amp;ROW())="","0","0"),IF(INDIRECT("G"&amp;ROW())="","5.5","5.5"))</f>
        <v>5.5</v>
      </c>
      <c r="G26" s="12"/>
      <c r="H26" s="12"/>
      <c r="I26" s="12"/>
      <c r="J26" s="12" t="s">
        <v>6</v>
      </c>
      <c r="K26" s="12"/>
      <c r="L26" s="13">
        <f ca="1">IF(INDIRECT("J"&amp;ROW())="текущие цены",0/1000,22/1000)</f>
        <v>0.022</v>
      </c>
      <c r="M26" s="5"/>
      <c r="N26" s="5"/>
      <c r="O26" s="5"/>
      <c r="P26" s="5"/>
      <c r="Q26" s="5"/>
    </row>
    <row r="27" spans="1:17" ht="45">
      <c r="A27" s="9">
        <v>9</v>
      </c>
      <c r="B27" s="10" t="s">
        <v>19</v>
      </c>
      <c r="C27" s="10" t="s">
        <v>52</v>
      </c>
      <c r="D27" s="11" t="str">
        <f ca="1" t="shared" si="0"/>
        <v>4 * 18.2 </v>
      </c>
      <c r="E27" s="12">
        <v>4</v>
      </c>
      <c r="F27" s="12" t="str">
        <f ca="1">IF(INDIRECT("J"&amp;ROW())="текущие цены",IF(INDIRECT("G"&amp;ROW())="","0","0"),IF(INDIRECT("G"&amp;ROW())="","18.2","18.2"))</f>
        <v>18.2</v>
      </c>
      <c r="G27" s="12"/>
      <c r="H27" s="12"/>
      <c r="I27" s="12"/>
      <c r="J27" s="12" t="s">
        <v>6</v>
      </c>
      <c r="K27" s="12"/>
      <c r="L27" s="13">
        <f ca="1">IF(INDIRECT("J"&amp;ROW())="текущие цены",0/1000,73/1000)</f>
        <v>0.073</v>
      </c>
      <c r="M27" s="5"/>
      <c r="N27" s="5"/>
      <c r="O27" s="5"/>
      <c r="P27" s="5"/>
      <c r="Q27" s="5"/>
    </row>
    <row r="28" spans="1:17" ht="45">
      <c r="A28" s="9">
        <v>10</v>
      </c>
      <c r="B28" s="10" t="s">
        <v>20</v>
      </c>
      <c r="C28" s="10" t="s">
        <v>53</v>
      </c>
      <c r="D28" s="11" t="str">
        <f ca="1" t="shared" si="0"/>
        <v>4 * 25.4 </v>
      </c>
      <c r="E28" s="12">
        <v>4</v>
      </c>
      <c r="F28" s="12" t="str">
        <f ca="1">IF(INDIRECT("J"&amp;ROW())="текущие цены",IF(INDIRECT("G"&amp;ROW())="","0","0"),IF(INDIRECT("G"&amp;ROW())="","25.4","25.4"))</f>
        <v>25.4</v>
      </c>
      <c r="G28" s="12"/>
      <c r="H28" s="12"/>
      <c r="I28" s="12"/>
      <c r="J28" s="12" t="s">
        <v>6</v>
      </c>
      <c r="K28" s="12"/>
      <c r="L28" s="13">
        <f ca="1">IF(INDIRECT("J"&amp;ROW())="текущие цены",0/1000,102/1000)</f>
        <v>0.102</v>
      </c>
      <c r="M28" s="5"/>
      <c r="N28" s="5"/>
      <c r="O28" s="5"/>
      <c r="P28" s="5"/>
      <c r="Q28" s="5"/>
    </row>
    <row r="29" spans="1:17" ht="60">
      <c r="A29" s="14">
        <v>11</v>
      </c>
      <c r="B29" s="15" t="s">
        <v>21</v>
      </c>
      <c r="C29" s="15" t="s">
        <v>54</v>
      </c>
      <c r="D29" s="16" t="str">
        <f ca="1" t="shared" si="0"/>
        <v>4 * 20.5 </v>
      </c>
      <c r="E29" s="17">
        <v>4</v>
      </c>
      <c r="F29" s="17" t="str">
        <f ca="1">IF(INDIRECT("J"&amp;ROW())="текущие цены",IF(INDIRECT("G"&amp;ROW())="","0","0"),IF(INDIRECT("G"&amp;ROW())="","20.5","20.5"))</f>
        <v>20.5</v>
      </c>
      <c r="G29" s="17"/>
      <c r="H29" s="17"/>
      <c r="I29" s="17"/>
      <c r="J29" s="17" t="s">
        <v>6</v>
      </c>
      <c r="K29" s="17"/>
      <c r="L29" s="18">
        <f ca="1">IF(INDIRECT("J"&amp;ROW())="текущие цены",0/1000,82/1000)</f>
        <v>0.082</v>
      </c>
      <c r="M29" s="5"/>
      <c r="N29" s="5"/>
      <c r="O29" s="5"/>
      <c r="P29" s="5"/>
      <c r="Q29" s="5"/>
    </row>
    <row r="30" spans="1:17" ht="15">
      <c r="A30" s="25" t="s">
        <v>68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13">
        <f>1033/1000</f>
        <v>1.033</v>
      </c>
      <c r="M30" s="5"/>
      <c r="N30" s="5"/>
      <c r="O30" s="5"/>
      <c r="P30" s="5"/>
      <c r="Q30" s="5"/>
    </row>
    <row r="31" spans="1:17" ht="15.75">
      <c r="A31" s="27" t="s">
        <v>22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3"/>
      <c r="M31" s="5"/>
      <c r="N31" s="5"/>
      <c r="O31" s="5"/>
      <c r="P31" s="5"/>
      <c r="Q31" s="5"/>
    </row>
    <row r="32" spans="1:17" ht="15">
      <c r="A32" s="25" t="s">
        <v>12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3">
        <f>1033/1000</f>
        <v>1.033</v>
      </c>
      <c r="M32" s="5"/>
      <c r="N32" s="5"/>
      <c r="O32" s="5"/>
      <c r="P32" s="5"/>
      <c r="Q32" s="5"/>
    </row>
    <row r="33" spans="1:17" ht="15">
      <c r="A33" s="25" t="s">
        <v>13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3">
        <f>1033/1000</f>
        <v>1.033</v>
      </c>
      <c r="M33" s="5"/>
      <c r="N33" s="5"/>
      <c r="O33" s="5"/>
      <c r="P33" s="5"/>
      <c r="Q33" s="5"/>
    </row>
    <row r="34" spans="1:17" ht="15">
      <c r="A34" s="25" t="s">
        <v>40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3">
        <f>44326/1000</f>
        <v>44.326</v>
      </c>
      <c r="M34" s="5"/>
      <c r="N34" s="5"/>
      <c r="O34" s="5"/>
      <c r="P34" s="5"/>
      <c r="Q34" s="5"/>
    </row>
    <row r="35" spans="1:17" ht="15" customHeight="1">
      <c r="A35" s="29" t="s">
        <v>23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18">
        <f>44326/1000</f>
        <v>44.326</v>
      </c>
      <c r="M35" s="5"/>
      <c r="N35" s="5"/>
      <c r="O35" s="5"/>
      <c r="P35" s="5"/>
      <c r="Q35" s="5"/>
    </row>
    <row r="36" spans="1:17" ht="16.5">
      <c r="A36" s="23" t="s">
        <v>42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5"/>
      <c r="N36" s="5"/>
      <c r="O36" s="5"/>
      <c r="P36" s="5"/>
      <c r="Q36" s="5"/>
    </row>
    <row r="37" spans="1:17" ht="75">
      <c r="A37" s="9">
        <v>12</v>
      </c>
      <c r="B37" s="10" t="s">
        <v>24</v>
      </c>
      <c r="C37" s="10" t="s">
        <v>55</v>
      </c>
      <c r="D37" s="11" t="str">
        <f aca="true" ca="1" t="shared" si="1" ref="D37:D46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0,5 * 18.5 </v>
      </c>
      <c r="E37" s="12">
        <v>0.5</v>
      </c>
      <c r="F37" s="12" t="str">
        <f ca="1">IF(INDIRECT("J"&amp;ROW())="текущие цены",IF(INDIRECT("G"&amp;ROW())="","0","0"),IF(INDIRECT("G"&amp;ROW())="","18.5","18.5"))</f>
        <v>18.5</v>
      </c>
      <c r="G37" s="12"/>
      <c r="H37" s="12"/>
      <c r="I37" s="12"/>
      <c r="J37" s="12" t="s">
        <v>6</v>
      </c>
      <c r="K37" s="12"/>
      <c r="L37" s="13">
        <f ca="1">IF(INDIRECT("J"&amp;ROW())="текущие цены",0/1000,9/1000)</f>
        <v>0.009</v>
      </c>
      <c r="M37" s="5"/>
      <c r="N37" s="5"/>
      <c r="O37" s="5"/>
      <c r="P37" s="5"/>
      <c r="Q37" s="5"/>
    </row>
    <row r="38" spans="1:17" ht="47.25" customHeight="1">
      <c r="A38" s="9">
        <v>13</v>
      </c>
      <c r="B38" s="10" t="s">
        <v>25</v>
      </c>
      <c r="C38" s="10" t="s">
        <v>56</v>
      </c>
      <c r="D38" s="11" t="str">
        <f ca="1" t="shared" si="1"/>
        <v>25 * 113 </v>
      </c>
      <c r="E38" s="12">
        <v>25</v>
      </c>
      <c r="F38" s="12" t="str">
        <f ca="1">IF(INDIRECT("J"&amp;ROW())="текущие цены",IF(INDIRECT("G"&amp;ROW())="","0","0"),IF(INDIRECT("G"&amp;ROW())="","113","113"))</f>
        <v>113</v>
      </c>
      <c r="G38" s="12"/>
      <c r="H38" s="12"/>
      <c r="I38" s="12"/>
      <c r="J38" s="12" t="s">
        <v>6</v>
      </c>
      <c r="K38" s="12"/>
      <c r="L38" s="13">
        <f ca="1">IF(INDIRECT("J"&amp;ROW())="текущие цены",0/1000,2825/1000)</f>
        <v>2.825</v>
      </c>
      <c r="M38" s="5"/>
      <c r="N38" s="5"/>
      <c r="O38" s="5"/>
      <c r="P38" s="5"/>
      <c r="Q38" s="5"/>
    </row>
    <row r="39" spans="1:17" ht="88.5" customHeight="1">
      <c r="A39" s="9">
        <v>14</v>
      </c>
      <c r="B39" s="10" t="s">
        <v>15</v>
      </c>
      <c r="C39" s="10" t="s">
        <v>57</v>
      </c>
      <c r="D39" s="11" t="str">
        <f ca="1" t="shared" si="1"/>
        <v>10 * 18.2 * 0,15</v>
      </c>
      <c r="E39" s="12">
        <v>10</v>
      </c>
      <c r="F39" s="12" t="str">
        <f ca="1">IF(INDIRECT("J"&amp;ROW())="текущие цены",IF(INDIRECT("G"&amp;ROW())="","0","0"),IF(INDIRECT("G"&amp;ROW())="","2.73","18.2"))</f>
        <v>18.2</v>
      </c>
      <c r="G39" s="12">
        <v>0.15</v>
      </c>
      <c r="H39" s="12"/>
      <c r="I39" s="12"/>
      <c r="J39" s="12" t="s">
        <v>6</v>
      </c>
      <c r="K39" s="12" t="s">
        <v>26</v>
      </c>
      <c r="L39" s="13">
        <f ca="1">IF(INDIRECT("J"&amp;ROW())="текущие цены",0/1000,27/1000)</f>
        <v>0.027</v>
      </c>
      <c r="M39" s="5"/>
      <c r="N39" s="5"/>
      <c r="O39" s="5"/>
      <c r="P39" s="5"/>
      <c r="Q39" s="5"/>
    </row>
    <row r="40" spans="1:17" ht="87.75" customHeight="1">
      <c r="A40" s="9">
        <v>15</v>
      </c>
      <c r="B40" s="10" t="s">
        <v>16</v>
      </c>
      <c r="C40" s="10" t="s">
        <v>58</v>
      </c>
      <c r="D40" s="11" t="str">
        <f ca="1" t="shared" si="1"/>
        <v>15 * 20.2 * 0,15</v>
      </c>
      <c r="E40" s="12">
        <v>15</v>
      </c>
      <c r="F40" s="12" t="str">
        <f ca="1">IF(INDIRECT("J"&amp;ROW())="текущие цены",IF(INDIRECT("G"&amp;ROW())="","0","0"),IF(INDIRECT("G"&amp;ROW())="","3.03","20.2"))</f>
        <v>20.2</v>
      </c>
      <c r="G40" s="12">
        <v>0.15</v>
      </c>
      <c r="H40" s="12"/>
      <c r="I40" s="12"/>
      <c r="J40" s="12" t="s">
        <v>6</v>
      </c>
      <c r="K40" s="12" t="s">
        <v>26</v>
      </c>
      <c r="L40" s="13">
        <f ca="1">IF(INDIRECT("J"&amp;ROW())="текущие цены",0/1000,45/1000)</f>
        <v>0.045</v>
      </c>
      <c r="M40" s="5"/>
      <c r="N40" s="5"/>
      <c r="O40" s="5"/>
      <c r="P40" s="5"/>
      <c r="Q40" s="5"/>
    </row>
    <row r="41" spans="1:17" ht="90" customHeight="1">
      <c r="A41" s="9">
        <v>16</v>
      </c>
      <c r="B41" s="10" t="s">
        <v>17</v>
      </c>
      <c r="C41" s="10" t="s">
        <v>59</v>
      </c>
      <c r="D41" s="11" t="str">
        <f ca="1" t="shared" si="1"/>
        <v>4 * 67.3 * 0,12</v>
      </c>
      <c r="E41" s="12">
        <v>4</v>
      </c>
      <c r="F41" s="12" t="str">
        <f ca="1">IF(INDIRECT("J"&amp;ROW())="текущие цены",IF(INDIRECT("G"&amp;ROW())="","0","0"),IF(INDIRECT("G"&amp;ROW())="","8.08","67.3"))</f>
        <v>67.3</v>
      </c>
      <c r="G41" s="12">
        <v>0.12</v>
      </c>
      <c r="H41" s="12"/>
      <c r="I41" s="12"/>
      <c r="J41" s="12" t="s">
        <v>6</v>
      </c>
      <c r="K41" s="12" t="s">
        <v>27</v>
      </c>
      <c r="L41" s="13">
        <f ca="1">IF(INDIRECT("J"&amp;ROW())="текущие цены",0/1000,32/1000)</f>
        <v>0.032</v>
      </c>
      <c r="M41" s="5"/>
      <c r="N41" s="5"/>
      <c r="O41" s="5"/>
      <c r="P41" s="5"/>
      <c r="Q41" s="5"/>
    </row>
    <row r="42" spans="1:17" ht="91.5" customHeight="1">
      <c r="A42" s="9">
        <v>17</v>
      </c>
      <c r="B42" s="10" t="s">
        <v>18</v>
      </c>
      <c r="C42" s="10" t="s">
        <v>60</v>
      </c>
      <c r="D42" s="11" t="str">
        <f ca="1" t="shared" si="1"/>
        <v>4 * 5.5 * 0,15</v>
      </c>
      <c r="E42" s="12">
        <v>4</v>
      </c>
      <c r="F42" s="12" t="str">
        <f ca="1">IF(INDIRECT("J"&amp;ROW())="текущие цены",IF(INDIRECT("G"&amp;ROW())="","0","0"),IF(INDIRECT("G"&amp;ROW())="","0.83","5.5"))</f>
        <v>5.5</v>
      </c>
      <c r="G42" s="12">
        <v>0.15</v>
      </c>
      <c r="H42" s="12"/>
      <c r="I42" s="12"/>
      <c r="J42" s="12" t="s">
        <v>6</v>
      </c>
      <c r="K42" s="12" t="s">
        <v>26</v>
      </c>
      <c r="L42" s="13">
        <f ca="1">IF(INDIRECT("J"&amp;ROW())="текущие цены",0/1000,3/1000)</f>
        <v>0.003</v>
      </c>
      <c r="M42" s="5"/>
      <c r="N42" s="5"/>
      <c r="O42" s="5"/>
      <c r="P42" s="5"/>
      <c r="Q42" s="5"/>
    </row>
    <row r="43" spans="1:17" ht="86.25">
      <c r="A43" s="9">
        <v>18</v>
      </c>
      <c r="B43" s="10" t="s">
        <v>19</v>
      </c>
      <c r="C43" s="10" t="s">
        <v>61</v>
      </c>
      <c r="D43" s="11" t="str">
        <f ca="1" t="shared" si="1"/>
        <v>4 * 18.2 * 0,15</v>
      </c>
      <c r="E43" s="12">
        <v>4</v>
      </c>
      <c r="F43" s="12" t="str">
        <f ca="1">IF(INDIRECT("J"&amp;ROW())="текущие цены",IF(INDIRECT("G"&amp;ROW())="","0","0"),IF(INDIRECT("G"&amp;ROW())="","2.73","18.2"))</f>
        <v>18.2</v>
      </c>
      <c r="G43" s="12">
        <v>0.15</v>
      </c>
      <c r="H43" s="12"/>
      <c r="I43" s="12"/>
      <c r="J43" s="12" t="s">
        <v>6</v>
      </c>
      <c r="K43" s="12" t="s">
        <v>28</v>
      </c>
      <c r="L43" s="13">
        <f ca="1">IF(INDIRECT("J"&amp;ROW())="текущие цены",0/1000,11/1000)</f>
        <v>0.011</v>
      </c>
      <c r="M43" s="5"/>
      <c r="N43" s="5"/>
      <c r="O43" s="5"/>
      <c r="P43" s="5"/>
      <c r="Q43" s="5"/>
    </row>
    <row r="44" spans="1:17" ht="86.25">
      <c r="A44" s="9">
        <v>19</v>
      </c>
      <c r="B44" s="10" t="s">
        <v>20</v>
      </c>
      <c r="C44" s="10" t="s">
        <v>62</v>
      </c>
      <c r="D44" s="11" t="str">
        <f ca="1" t="shared" si="1"/>
        <v>4 * 25.4 * 0,15</v>
      </c>
      <c r="E44" s="12">
        <v>4</v>
      </c>
      <c r="F44" s="12" t="str">
        <f ca="1">IF(INDIRECT("J"&amp;ROW())="текущие цены",IF(INDIRECT("G"&amp;ROW())="","0","0"),IF(INDIRECT("G"&amp;ROW())="","3.81","25.4"))</f>
        <v>25.4</v>
      </c>
      <c r="G44" s="12">
        <v>0.15</v>
      </c>
      <c r="H44" s="12"/>
      <c r="I44" s="12"/>
      <c r="J44" s="12" t="s">
        <v>6</v>
      </c>
      <c r="K44" s="12" t="s">
        <v>28</v>
      </c>
      <c r="L44" s="13">
        <f ca="1">IF(INDIRECT("J"&amp;ROW())="текущие цены",0/1000,15/1000)</f>
        <v>0.015</v>
      </c>
      <c r="M44" s="5"/>
      <c r="N44" s="5"/>
      <c r="O44" s="5"/>
      <c r="P44" s="5"/>
      <c r="Q44" s="5"/>
    </row>
    <row r="45" spans="1:17" ht="86.25">
      <c r="A45" s="9">
        <v>20</v>
      </c>
      <c r="B45" s="10" t="s">
        <v>21</v>
      </c>
      <c r="C45" s="10" t="s">
        <v>63</v>
      </c>
      <c r="D45" s="11" t="str">
        <f ca="1" t="shared" si="1"/>
        <v>4 * 20.5 * 0,15</v>
      </c>
      <c r="E45" s="12">
        <v>4</v>
      </c>
      <c r="F45" s="12" t="str">
        <f ca="1">IF(INDIRECT("J"&amp;ROW())="текущие цены",IF(INDIRECT("G"&amp;ROW())="","0","0"),IF(INDIRECT("G"&amp;ROW())="","3.08","20.5"))</f>
        <v>20.5</v>
      </c>
      <c r="G45" s="12">
        <v>0.15</v>
      </c>
      <c r="H45" s="12"/>
      <c r="I45" s="12"/>
      <c r="J45" s="12" t="s">
        <v>6</v>
      </c>
      <c r="K45" s="12" t="s">
        <v>28</v>
      </c>
      <c r="L45" s="13">
        <f ca="1">IF(INDIRECT("J"&amp;ROW())="текущие цены",0/1000,12/1000)</f>
        <v>0.012</v>
      </c>
      <c r="M45" s="5"/>
      <c r="N45" s="5"/>
      <c r="O45" s="5"/>
      <c r="P45" s="5"/>
      <c r="Q45" s="5"/>
    </row>
    <row r="46" spans="1:17" ht="45">
      <c r="A46" s="14">
        <v>21</v>
      </c>
      <c r="B46" s="15" t="s">
        <v>29</v>
      </c>
      <c r="C46" s="15" t="s">
        <v>64</v>
      </c>
      <c r="D46" s="16" t="str">
        <f ca="1" t="shared" si="1"/>
        <v>1 * 500 </v>
      </c>
      <c r="E46" s="17">
        <v>1</v>
      </c>
      <c r="F46" s="17" t="str">
        <f ca="1">IF(INDIRECT("J"&amp;ROW())="текущие цены",IF(INDIRECT("G"&amp;ROW())="","0","0"),IF(INDIRECT("G"&amp;ROW())="","500","500"))</f>
        <v>500</v>
      </c>
      <c r="G46" s="17"/>
      <c r="H46" s="17"/>
      <c r="I46" s="17"/>
      <c r="J46" s="17" t="s">
        <v>6</v>
      </c>
      <c r="K46" s="17"/>
      <c r="L46" s="18">
        <f ca="1">IF(INDIRECT("J"&amp;ROW())="текущие цены",0/1000,500/1000)</f>
        <v>0.5</v>
      </c>
      <c r="M46" s="5"/>
      <c r="N46" s="5"/>
      <c r="O46" s="5"/>
      <c r="P46" s="5"/>
      <c r="Q46" s="5"/>
    </row>
    <row r="47" spans="1:17" ht="15">
      <c r="A47" s="25" t="s">
        <v>68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13">
        <f>3479/1000</f>
        <v>3.479</v>
      </c>
      <c r="M47" s="5"/>
      <c r="N47" s="5"/>
      <c r="O47" s="5"/>
      <c r="P47" s="5"/>
      <c r="Q47" s="5"/>
    </row>
    <row r="48" spans="1:17" ht="15">
      <c r="A48" s="27" t="s">
        <v>30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13"/>
      <c r="M48" s="5"/>
      <c r="N48" s="5"/>
      <c r="O48" s="5"/>
      <c r="P48" s="5"/>
      <c r="Q48" s="5"/>
    </row>
    <row r="49" spans="1:17" ht="15">
      <c r="A49" s="25" t="s">
        <v>12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13">
        <f>3479/1000</f>
        <v>3.479</v>
      </c>
      <c r="M49" s="5"/>
      <c r="N49" s="5"/>
      <c r="O49" s="5"/>
      <c r="P49" s="5"/>
      <c r="Q49" s="5"/>
    </row>
    <row r="50" spans="1:17" ht="15">
      <c r="A50" s="25" t="s">
        <v>13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13">
        <f>3479/1000</f>
        <v>3.479</v>
      </c>
      <c r="M50" s="5"/>
      <c r="N50" s="5"/>
      <c r="O50" s="5"/>
      <c r="P50" s="5"/>
      <c r="Q50" s="5"/>
    </row>
    <row r="51" spans="1:17" ht="15">
      <c r="A51" s="25" t="s">
        <v>40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3">
        <f>149284/1000</f>
        <v>149.284</v>
      </c>
      <c r="M51" s="5"/>
      <c r="N51" s="5"/>
      <c r="O51" s="5"/>
      <c r="P51" s="5"/>
      <c r="Q51" s="5"/>
    </row>
    <row r="52" spans="1:17" ht="15" customHeight="1">
      <c r="A52" s="29" t="s">
        <v>31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8">
        <f>149284/1000</f>
        <v>149.284</v>
      </c>
      <c r="M52" s="5"/>
      <c r="N52" s="5"/>
      <c r="O52" s="5"/>
      <c r="P52" s="5"/>
      <c r="Q52" s="5"/>
    </row>
    <row r="53" spans="1:17" ht="16.5">
      <c r="A53" s="23" t="s">
        <v>43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5"/>
      <c r="N53" s="5"/>
      <c r="O53" s="5"/>
      <c r="P53" s="5"/>
      <c r="Q53" s="5"/>
    </row>
    <row r="54" spans="1:17" ht="105">
      <c r="A54" s="14">
        <v>22</v>
      </c>
      <c r="B54" s="15" t="s">
        <v>32</v>
      </c>
      <c r="C54" s="15" t="s">
        <v>65</v>
      </c>
      <c r="D54" s="16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 * 31349.64 </v>
      </c>
      <c r="E54" s="17">
        <v>1</v>
      </c>
      <c r="F54" s="17" t="str">
        <f ca="1">IF(INDIRECT("J"&amp;ROW())="текущие цены",IF(INDIRECT("G"&amp;ROW())="","0","0"),IF(INDIRECT("G"&amp;ROW())="","31349.64","31349.64"))</f>
        <v>31349.64</v>
      </c>
      <c r="G54" s="17"/>
      <c r="H54" s="17"/>
      <c r="I54" s="17"/>
      <c r="J54" s="17" t="s">
        <v>6</v>
      </c>
      <c r="K54" s="17"/>
      <c r="L54" s="18">
        <f ca="1">IF(INDIRECT("J"&amp;ROW())="текущие цены",0/1000,31350/1000)</f>
        <v>31.35</v>
      </c>
      <c r="M54" s="5"/>
      <c r="N54" s="5"/>
      <c r="O54" s="5"/>
      <c r="P54" s="5"/>
      <c r="Q54" s="5"/>
    </row>
    <row r="55" spans="1:17" ht="15">
      <c r="A55" s="25" t="s">
        <v>68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3">
        <f>31350/1000</f>
        <v>31.35</v>
      </c>
      <c r="M55" s="5"/>
      <c r="N55" s="5"/>
      <c r="O55" s="5"/>
      <c r="P55" s="5"/>
      <c r="Q55" s="5"/>
    </row>
    <row r="56" spans="1:17" ht="22.5" customHeight="1">
      <c r="A56" s="27" t="s">
        <v>33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13"/>
      <c r="M56" s="5"/>
      <c r="N56" s="5"/>
      <c r="O56" s="5"/>
      <c r="P56" s="5"/>
      <c r="Q56" s="5"/>
    </row>
    <row r="57" spans="1:17" ht="15">
      <c r="A57" s="25" t="s">
        <v>12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13">
        <f>31350/1000</f>
        <v>31.35</v>
      </c>
      <c r="M57" s="5"/>
      <c r="N57" s="5"/>
      <c r="O57" s="5"/>
      <c r="P57" s="5"/>
      <c r="Q57" s="5"/>
    </row>
    <row r="58" spans="1:17" ht="15">
      <c r="A58" s="25" t="s">
        <v>13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13">
        <f>31350/1000</f>
        <v>31.35</v>
      </c>
      <c r="M58" s="5"/>
      <c r="N58" s="5"/>
      <c r="O58" s="5"/>
      <c r="P58" s="5"/>
      <c r="Q58" s="5"/>
    </row>
    <row r="59" spans="1:17" ht="15">
      <c r="A59" s="25" t="s">
        <v>34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13">
        <f>31350/1000</f>
        <v>31.35</v>
      </c>
      <c r="M59" s="5"/>
      <c r="N59" s="5"/>
      <c r="O59" s="5"/>
      <c r="P59" s="5"/>
      <c r="Q59" s="5"/>
    </row>
    <row r="60" spans="1:17" ht="15" customHeight="1">
      <c r="A60" s="29" t="s">
        <v>35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18">
        <f>31350/1000</f>
        <v>31.35</v>
      </c>
      <c r="M60" s="5"/>
      <c r="N60" s="5"/>
      <c r="O60" s="5"/>
      <c r="P60" s="5"/>
      <c r="Q60" s="5"/>
    </row>
    <row r="61" spans="1:17" ht="15">
      <c r="A61" s="32" t="s">
        <v>69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19">
        <f>37492/1000</f>
        <v>37.492</v>
      </c>
      <c r="M61" s="5"/>
      <c r="N61" s="5"/>
      <c r="O61" s="5"/>
      <c r="P61" s="5"/>
      <c r="Q61" s="5"/>
    </row>
    <row r="62" spans="1:17" ht="15">
      <c r="A62" s="33" t="s">
        <v>36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19"/>
      <c r="M62" s="5"/>
      <c r="N62" s="5"/>
      <c r="O62" s="5"/>
      <c r="P62" s="5"/>
      <c r="Q62" s="5"/>
    </row>
    <row r="63" spans="1:17" ht="15">
      <c r="A63" s="32" t="s">
        <v>66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19">
        <f>263553/1000</f>
        <v>263.553</v>
      </c>
      <c r="M63" s="5"/>
      <c r="N63" s="5"/>
      <c r="O63" s="5"/>
      <c r="P63" s="5"/>
      <c r="Q63" s="5"/>
    </row>
    <row r="64" spans="1:17" ht="15">
      <c r="A64" s="32" t="s">
        <v>67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19">
        <f>31350/1000</f>
        <v>31.35</v>
      </c>
      <c r="M64" s="5"/>
      <c r="N64" s="5"/>
      <c r="O64" s="5"/>
      <c r="P64" s="5"/>
      <c r="Q64" s="5"/>
    </row>
    <row r="65" spans="1:17" ht="15">
      <c r="A65" s="32" t="s">
        <v>13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19">
        <f>294903/1000</f>
        <v>294.903</v>
      </c>
      <c r="M65" s="5"/>
      <c r="N65" s="5"/>
      <c r="O65" s="5"/>
      <c r="P65" s="5"/>
      <c r="Q65" s="5"/>
    </row>
    <row r="66" spans="1:17" ht="15" customHeight="1">
      <c r="A66" s="32" t="s">
        <v>37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19">
        <f>53083/1000</f>
        <v>53.083</v>
      </c>
      <c r="M66" s="5"/>
      <c r="N66" s="5"/>
      <c r="O66" s="5"/>
      <c r="P66" s="5"/>
      <c r="Q66" s="5"/>
    </row>
    <row r="67" spans="1:17" ht="15">
      <c r="A67" s="33" t="s">
        <v>38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19">
        <f>347986/1000</f>
        <v>347.986</v>
      </c>
      <c r="M67" s="5"/>
      <c r="N67" s="5"/>
      <c r="O67" s="5"/>
      <c r="P67" s="5"/>
      <c r="Q67" s="5"/>
    </row>
    <row r="68" spans="1:17" ht="15">
      <c r="A68" s="21" t="s">
        <v>71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"/>
      <c r="N68" s="7"/>
      <c r="O68" s="7"/>
      <c r="P68" s="7"/>
      <c r="Q68" s="7"/>
    </row>
    <row r="69" spans="1:12" ht="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</sheetData>
  <sheetProtection/>
  <mergeCells count="45">
    <mergeCell ref="A1:L1"/>
    <mergeCell ref="A66:K66"/>
    <mergeCell ref="A67:K67"/>
    <mergeCell ref="A4:L4"/>
    <mergeCell ref="B8:D8"/>
    <mergeCell ref="A61:K61"/>
    <mergeCell ref="A62:K62"/>
    <mergeCell ref="A63:K63"/>
    <mergeCell ref="A64:K64"/>
    <mergeCell ref="A65:K65"/>
    <mergeCell ref="A56:K56"/>
    <mergeCell ref="A57:K57"/>
    <mergeCell ref="A58:K58"/>
    <mergeCell ref="A59:K59"/>
    <mergeCell ref="A60:K60"/>
    <mergeCell ref="A50:K50"/>
    <mergeCell ref="A5:L5"/>
    <mergeCell ref="A6:L6"/>
    <mergeCell ref="A55:K55"/>
    <mergeCell ref="A35:K35"/>
    <mergeCell ref="A36:L36"/>
    <mergeCell ref="A47:K47"/>
    <mergeCell ref="A48:K48"/>
    <mergeCell ref="A49:K49"/>
    <mergeCell ref="A51:K51"/>
    <mergeCell ref="A32:K32"/>
    <mergeCell ref="A33:K33"/>
    <mergeCell ref="A52:K52"/>
    <mergeCell ref="A53:L53"/>
    <mergeCell ref="A7:L7"/>
    <mergeCell ref="A68:L68"/>
    <mergeCell ref="A69:L69"/>
    <mergeCell ref="A2:L2"/>
    <mergeCell ref="A3:L3"/>
    <mergeCell ref="A11:L11"/>
    <mergeCell ref="A16:K16"/>
    <mergeCell ref="A34:K34"/>
    <mergeCell ref="A17:K17"/>
    <mergeCell ref="A18:K18"/>
    <mergeCell ref="A19:K19"/>
    <mergeCell ref="A20:K20"/>
    <mergeCell ref="A21:K21"/>
    <mergeCell ref="A22:L22"/>
    <mergeCell ref="A30:K30"/>
    <mergeCell ref="A31:K31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71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a.pastuhova</dc:creator>
  <cp:keywords/>
  <dc:description>27.04.2009</dc:description>
  <cp:lastModifiedBy>e.plahova</cp:lastModifiedBy>
  <cp:lastPrinted>2015-08-11T06:06:14Z</cp:lastPrinted>
  <dcterms:created xsi:type="dcterms:W3CDTF">2007-02-21T08:42:24Z</dcterms:created>
  <dcterms:modified xsi:type="dcterms:W3CDTF">2015-10-01T10:55:04Z</dcterms:modified>
  <cp:category/>
  <cp:version/>
  <cp:contentType/>
  <cp:contentStatus/>
</cp:coreProperties>
</file>